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90" windowHeight="6285" tabRatio="601"/>
  </bookViews>
  <sheets>
    <sheet name="Приложение " sheetId="2" r:id="rId1"/>
  </sheets>
  <definedNames>
    <definedName name="_xlnm.Print_Titles" localSheetId="0">'Приложение '!$4:$8</definedName>
    <definedName name="_xlnm.Print_Area" localSheetId="0">'Приложение '!$A$1:$R$54</definedName>
  </definedNames>
  <calcPr calcId="152511"/>
</workbook>
</file>

<file path=xl/calcChain.xml><?xml version="1.0" encoding="utf-8"?>
<calcChain xmlns="http://schemas.openxmlformats.org/spreadsheetml/2006/main">
  <c r="Q16" i="2" l="1"/>
  <c r="R16" i="2"/>
  <c r="P16" i="2"/>
  <c r="O16" i="2"/>
  <c r="N16" i="2"/>
  <c r="M16" i="2"/>
  <c r="N54" i="2"/>
  <c r="P54" i="2" s="1"/>
  <c r="R54" i="2" s="1"/>
  <c r="M54" i="2"/>
  <c r="O54" i="2" s="1"/>
  <c r="Q54" i="2" s="1"/>
  <c r="N49" i="2"/>
  <c r="P49" i="2" s="1"/>
  <c r="R49" i="2" s="1"/>
  <c r="M49" i="2"/>
  <c r="O49" i="2" s="1"/>
  <c r="Q49" i="2" s="1"/>
  <c r="N47" i="2"/>
  <c r="P47" i="2" s="1"/>
  <c r="R47" i="2" s="1"/>
  <c r="O47" i="2"/>
  <c r="Q47" i="2" s="1"/>
  <c r="M47" i="2"/>
  <c r="R42" i="2"/>
  <c r="Q42" i="2"/>
  <c r="P42" i="2"/>
  <c r="O42" i="2"/>
  <c r="N42" i="2"/>
  <c r="N41" i="2" s="1"/>
  <c r="P41" i="2" s="1"/>
  <c r="R41" i="2" s="1"/>
  <c r="M42" i="2"/>
  <c r="M41" i="2" s="1"/>
  <c r="O41" i="2" s="1"/>
  <c r="Q41" i="2" s="1"/>
  <c r="R39" i="2"/>
  <c r="Q39" i="2"/>
  <c r="P39" i="2"/>
  <c r="O39" i="2"/>
  <c r="N39" i="2"/>
  <c r="N38" i="2" s="1"/>
  <c r="P38" i="2" s="1"/>
  <c r="R38" i="2" s="1"/>
  <c r="M39" i="2"/>
  <c r="M38" i="2" s="1"/>
  <c r="O38" i="2" s="1"/>
  <c r="Q38" i="2" s="1"/>
  <c r="N28" i="2"/>
  <c r="P28" i="2" s="1"/>
  <c r="R28" i="2" s="1"/>
  <c r="M28" i="2"/>
  <c r="O28" i="2" s="1"/>
  <c r="Q28" i="2" s="1"/>
  <c r="O33" i="2"/>
  <c r="Q33" i="2" s="1"/>
  <c r="N33" i="2"/>
  <c r="M33" i="2"/>
  <c r="N31" i="2"/>
  <c r="P31" i="2" s="1"/>
  <c r="R31" i="2" s="1"/>
  <c r="O31" i="2"/>
  <c r="Q31" i="2" s="1"/>
  <c r="M31" i="2"/>
  <c r="P30" i="2"/>
  <c r="R30" i="2" s="1"/>
  <c r="N30" i="2"/>
  <c r="M30" i="2"/>
  <c r="O30" i="2" s="1"/>
  <c r="Q30" i="2" s="1"/>
  <c r="N34" i="2"/>
  <c r="P34" i="2" s="1"/>
  <c r="R34" i="2" s="1"/>
  <c r="M34" i="2"/>
  <c r="O34" i="2" s="1"/>
  <c r="Q34" i="2" s="1"/>
  <c r="N26" i="2"/>
  <c r="K25" i="2"/>
  <c r="L25" i="2"/>
  <c r="M25" i="2"/>
  <c r="M26" i="2" s="1"/>
  <c r="N25" i="2"/>
  <c r="O25" i="2"/>
  <c r="P25" i="2"/>
  <c r="P26" i="2" s="1"/>
  <c r="Q25" i="2"/>
  <c r="Q26" i="2" s="1"/>
  <c r="R25" i="2"/>
  <c r="R26" i="2"/>
  <c r="O26" i="2"/>
  <c r="F25" i="2"/>
  <c r="P33" i="2" l="1"/>
  <c r="R33" i="2" s="1"/>
  <c r="N52" i="2" l="1"/>
  <c r="M52" i="2"/>
  <c r="O52" i="2" s="1"/>
  <c r="Q52" i="2" l="1"/>
  <c r="P52" i="2"/>
  <c r="R52" i="2" l="1"/>
  <c r="R12" i="2"/>
  <c r="Q12" i="2"/>
  <c r="P12" i="2"/>
  <c r="O12" i="2"/>
  <c r="N12" i="2"/>
  <c r="M12" i="2"/>
  <c r="L12" i="2"/>
  <c r="I12" i="2"/>
  <c r="L26" i="2" l="1"/>
  <c r="K26" i="2"/>
  <c r="E26" i="2"/>
  <c r="D26" i="2"/>
  <c r="C26" i="2"/>
  <c r="J25" i="2"/>
  <c r="J26" i="2" s="1"/>
  <c r="I25" i="2"/>
  <c r="I26" i="2" s="1"/>
  <c r="H25" i="2"/>
  <c r="H26" i="2" s="1"/>
  <c r="G25" i="2"/>
  <c r="G26" i="2" s="1"/>
  <c r="F26" i="2"/>
  <c r="F21" i="2"/>
  <c r="F19" i="2"/>
  <c r="H19" i="2" s="1"/>
  <c r="J19" i="2" s="1"/>
  <c r="L19" i="2" s="1"/>
  <c r="N19" i="2" s="1"/>
  <c r="P19" i="2" s="1"/>
  <c r="R19" i="2" s="1"/>
  <c r="E18" i="2"/>
  <c r="F18" i="2" s="1"/>
  <c r="D18" i="2"/>
  <c r="D14" i="2" s="1"/>
  <c r="C18" i="2"/>
  <c r="C14" i="2" s="1"/>
  <c r="C15" i="2" s="1"/>
  <c r="C16" i="2" s="1"/>
  <c r="K12" i="2"/>
  <c r="J12" i="2"/>
  <c r="H12" i="2"/>
  <c r="G12" i="2"/>
  <c r="F10" i="2"/>
  <c r="H10" i="2" s="1"/>
  <c r="J10" i="2" s="1"/>
  <c r="L10" i="2" s="1"/>
  <c r="N10" i="2" s="1"/>
  <c r="P10" i="2" s="1"/>
  <c r="R10" i="2" s="1"/>
  <c r="H21" i="2" l="1"/>
  <c r="D15" i="2"/>
  <c r="D16" i="2" s="1"/>
  <c r="G21" i="2"/>
  <c r="H18" i="2"/>
  <c r="G18" i="2"/>
  <c r="F14" i="2"/>
  <c r="E14" i="2"/>
  <c r="E15" i="2" s="1"/>
  <c r="G19" i="2"/>
  <c r="I19" i="2" s="1"/>
  <c r="K19" i="2" s="1"/>
  <c r="M19" i="2" s="1"/>
  <c r="O19" i="2" s="1"/>
  <c r="Q19" i="2" s="1"/>
  <c r="G10" i="2"/>
  <c r="I10" i="2" s="1"/>
  <c r="K10" i="2" s="1"/>
  <c r="M10" i="2" s="1"/>
  <c r="O10" i="2" s="1"/>
  <c r="Q10" i="2" s="1"/>
  <c r="I21" i="2" l="1"/>
  <c r="J21" i="2"/>
  <c r="I18" i="2"/>
  <c r="G14" i="2"/>
  <c r="J18" i="2"/>
  <c r="L18" i="2" s="1"/>
  <c r="H14" i="2"/>
  <c r="N18" i="2" l="1"/>
  <c r="L14" i="2"/>
  <c r="L21" i="2"/>
  <c r="K21" i="2"/>
  <c r="J14" i="2"/>
  <c r="K18" i="2"/>
  <c r="I14" i="2"/>
  <c r="N21" i="2" l="1"/>
  <c r="P21" i="2" s="1"/>
  <c r="R21" i="2" s="1"/>
  <c r="P22" i="2"/>
  <c r="P23" i="2" s="1"/>
  <c r="K14" i="2"/>
  <c r="M18" i="2"/>
  <c r="M21" i="2"/>
  <c r="N22" i="2"/>
  <c r="N23" i="2" s="1"/>
  <c r="P18" i="2"/>
  <c r="N14" i="2"/>
  <c r="O21" i="2" l="1"/>
  <c r="M22" i="2"/>
  <c r="M23" i="2" s="1"/>
  <c r="R18" i="2"/>
  <c r="R14" i="2" s="1"/>
  <c r="P14" i="2"/>
  <c r="M14" i="2"/>
  <c r="O18" i="2"/>
  <c r="R22" i="2"/>
  <c r="R23" i="2" s="1"/>
  <c r="Q18" i="2" l="1"/>
  <c r="Q14" i="2" s="1"/>
  <c r="O14" i="2"/>
  <c r="Q21" i="2"/>
  <c r="Q22" i="2" s="1"/>
  <c r="O22" i="2"/>
  <c r="O23" i="2" s="1"/>
  <c r="Q23" i="2" l="1"/>
</calcChain>
</file>

<file path=xl/sharedStrings.xml><?xml version="1.0" encoding="utf-8"?>
<sst xmlns="http://schemas.openxmlformats.org/spreadsheetml/2006/main" count="124" uniqueCount="62">
  <si>
    <t xml:space="preserve">Наименование показателя    </t>
  </si>
  <si>
    <t xml:space="preserve">Единица измерения  </t>
  </si>
  <si>
    <t>I вариант</t>
  </si>
  <si>
    <t>II вариант</t>
  </si>
  <si>
    <t>в текущих ценах</t>
  </si>
  <si>
    <t>в сопоставимых ценах</t>
  </si>
  <si>
    <t xml:space="preserve">в том числе:         </t>
  </si>
  <si>
    <t xml:space="preserve"> обрабатывающие производства – всего</t>
  </si>
  <si>
    <t xml:space="preserve">производство и распределение электроэнергии, газа и воды – всего      </t>
  </si>
  <si>
    <t>Ввод в действие жилых домов</t>
  </si>
  <si>
    <t xml:space="preserve">Средняя обеспеченность жильем населения             </t>
  </si>
  <si>
    <t xml:space="preserve">Протяженность автомобильных дорог общего пользования       </t>
  </si>
  <si>
    <t xml:space="preserve">км      </t>
  </si>
  <si>
    <t xml:space="preserve">%      </t>
  </si>
  <si>
    <t>Коэффициент износа основных фондов</t>
  </si>
  <si>
    <r>
      <t>Ввод в действие  основных фондов</t>
    </r>
    <r>
      <rPr>
        <sz val="10"/>
        <rFont val="Times New Roman"/>
        <family val="1"/>
        <charset val="204"/>
      </rPr>
      <t xml:space="preserve">    </t>
    </r>
  </si>
  <si>
    <t xml:space="preserve">Оборот розничной торговли    </t>
  </si>
  <si>
    <t>Оборот общественного питания</t>
  </si>
  <si>
    <t xml:space="preserve">Прибыль прибыльных организаций  </t>
  </si>
  <si>
    <t xml:space="preserve">Реальные располагаемые денежные доходы населения            </t>
  </si>
  <si>
    <t xml:space="preserve">Численность постоянного населения (среднегодовая)         </t>
  </si>
  <si>
    <t>Прогноз</t>
  </si>
  <si>
    <t>1. Сельское хозяйство</t>
  </si>
  <si>
    <t>Продукция сельского хозяйства в хозяйствах всех категорий</t>
  </si>
  <si>
    <t>млн рублей</t>
  </si>
  <si>
    <t>% к предыдущему году</t>
  </si>
  <si>
    <t xml:space="preserve">% к предыдущему году </t>
  </si>
  <si>
    <t>2.  Промышленное производство</t>
  </si>
  <si>
    <t xml:space="preserve">3. Строительство                                                </t>
  </si>
  <si>
    <t xml:space="preserve">4. Транспорт и связь                                        </t>
  </si>
  <si>
    <t>тыс. кв. метров  общей площади</t>
  </si>
  <si>
    <t xml:space="preserve">кв. метр на 1 жителя </t>
  </si>
  <si>
    <t xml:space="preserve">%  от  общей протяженности автомобильных дорог общего пользования          </t>
  </si>
  <si>
    <t xml:space="preserve">Удельный вес автомобильных дорог с твердым покрытием </t>
  </si>
  <si>
    <t xml:space="preserve">5. Финансовые результаты деятельности организаций. Инвестиции                                                             </t>
  </si>
  <si>
    <t>Основные фонды по остаточной стоимости на конец года</t>
  </si>
  <si>
    <t xml:space="preserve">Доля населения с денежными доходами ниже прожиточного минимума </t>
  </si>
  <si>
    <t xml:space="preserve">% от общей численности населения </t>
  </si>
  <si>
    <t>рублей</t>
  </si>
  <si>
    <t>тыс. человек</t>
  </si>
  <si>
    <t xml:space="preserve">Среднесписочная  численность работников организаций, не относящихся к субъектам малого предпринимательства  </t>
  </si>
  <si>
    <t>Объем инвестиций (в основной капитал) за счет всех источников финансирования (без учета субъектов малого предпринимательства)</t>
  </si>
  <si>
    <t>6.  Рынок товаров и услуг</t>
  </si>
  <si>
    <t>Объем отгруженных товаров собственного производства, выполненных работ и услуг собственными силами организаций, не относящихся к субъектам малого предпринимательства, – всего</t>
  </si>
  <si>
    <t xml:space="preserve">Фонд начисленной заработной платы  работников организаций, не относящихся к субъектам малого предпринимательства          </t>
  </si>
  <si>
    <t xml:space="preserve">Среднемесячная начисленная номинальная заработная плата работников организаций, не относящихся к субъектам малого предпринимательства     </t>
  </si>
  <si>
    <t xml:space="preserve">7.  Денежные доходы населения. Уровень жизни населения                                                       </t>
  </si>
  <si>
    <t xml:space="preserve">8.  Демографические показатели. Труд и занятость                                                                                                </t>
  </si>
  <si>
    <t>-</t>
  </si>
  <si>
    <t>×</t>
  </si>
  <si>
    <t>2015 год</t>
  </si>
  <si>
    <t>2016 год</t>
  </si>
  <si>
    <t>2017 год</t>
  </si>
  <si>
    <t>2019 год</t>
  </si>
  <si>
    <t>2020 год</t>
  </si>
  <si>
    <t>2021 год</t>
  </si>
  <si>
    <t>2022 год</t>
  </si>
  <si>
    <t>2023 год</t>
  </si>
  <si>
    <t>2024 год</t>
  </si>
  <si>
    <t>Оценка на 2018 год</t>
  </si>
  <si>
    <t>Отчет</t>
  </si>
  <si>
    <t>Показатели прогноза социально-экономического развития городского округа города Переславля-Залесского на 2019-2024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</si>
</sst>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9"/>
      <name val="Arial Cyr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 applyFill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7" fillId="0" borderId="13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right" vertical="top" wrapText="1"/>
    </xf>
    <xf numFmtId="0" fontId="1" fillId="0" borderId="0" xfId="1" applyFont="1" applyFill="1" applyAlignment="1">
      <alignment wrapText="1"/>
    </xf>
    <xf numFmtId="164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top" wrapText="1" indent="2"/>
    </xf>
    <xf numFmtId="0" fontId="7" fillId="0" borderId="1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wrapText="1"/>
    </xf>
    <xf numFmtId="0" fontId="1" fillId="0" borderId="0" xfId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 wrapText="1"/>
    </xf>
    <xf numFmtId="0" fontId="9" fillId="0" borderId="12" xfId="1" applyFont="1" applyFill="1" applyBorder="1" applyAlignment="1">
      <alignment horizontal="left" vertical="top" wrapText="1" indent="1"/>
    </xf>
    <xf numFmtId="0" fontId="8" fillId="0" borderId="8" xfId="1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165" fontId="7" fillId="0" borderId="12" xfId="1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top" wrapText="1"/>
    </xf>
    <xf numFmtId="0" fontId="4" fillId="0" borderId="13" xfId="1" applyFont="1" applyFill="1" applyBorder="1" applyAlignment="1">
      <alignment horizontal="center" wrapText="1"/>
    </xf>
    <xf numFmtId="0" fontId="8" fillId="0" borderId="12" xfId="1" applyFont="1" applyFill="1" applyBorder="1" applyAlignment="1">
      <alignment horizontal="center" vertical="center" wrapText="1"/>
    </xf>
    <xf numFmtId="164" fontId="18" fillId="0" borderId="13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3" xfId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wrapText="1"/>
    </xf>
    <xf numFmtId="0" fontId="6" fillId="0" borderId="13" xfId="1" applyFont="1" applyFill="1" applyBorder="1" applyAlignment="1">
      <alignment horizontal="center" vertical="top" wrapText="1"/>
    </xf>
    <xf numFmtId="0" fontId="0" fillId="0" borderId="13" xfId="0" applyFill="1" applyBorder="1" applyAlignment="1">
      <alignment wrapText="1"/>
    </xf>
    <xf numFmtId="0" fontId="1" fillId="0" borderId="12" xfId="1" applyFill="1" applyBorder="1" applyAlignment="1">
      <alignment horizontal="center" vertical="center" wrapText="1"/>
    </xf>
    <xf numFmtId="0" fontId="12" fillId="0" borderId="0" xfId="1" applyNumberFormat="1" applyFont="1" applyFill="1" applyBorder="1" applyAlignment="1">
      <alignment vertical="top" wrapText="1"/>
    </xf>
    <xf numFmtId="0" fontId="0" fillId="0" borderId="0" xfId="0" applyNumberFormat="1" applyFill="1" applyAlignment="1">
      <alignment vertical="top" wrapText="1"/>
    </xf>
    <xf numFmtId="0" fontId="7" fillId="0" borderId="2" xfId="1" applyFont="1" applyFill="1" applyBorder="1" applyAlignment="1">
      <alignment horizontal="left" vertical="center" wrapText="1"/>
    </xf>
    <xf numFmtId="0" fontId="1" fillId="0" borderId="12" xfId="1" applyFill="1" applyBorder="1" applyAlignment="1">
      <alignment horizontal="left" vertical="center" wrapText="1"/>
    </xf>
    <xf numFmtId="0" fontId="6" fillId="0" borderId="14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7" fillId="0" borderId="2" xfId="1" applyFont="1" applyFill="1" applyBorder="1" applyAlignment="1">
      <alignment vertical="top" wrapText="1"/>
    </xf>
    <xf numFmtId="0" fontId="1" fillId="0" borderId="12" xfId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2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tabSelected="1" view="pageBreakPreview" zoomScaleNormal="150" zoomScaleSheetLayoutView="100" workbookViewId="0">
      <selection activeCell="W7" sqref="W7"/>
    </sheetView>
  </sheetViews>
  <sheetFormatPr defaultRowHeight="12.75" x14ac:dyDescent="0.2"/>
  <cols>
    <col min="1" max="1" width="70.28515625" style="1" customWidth="1"/>
    <col min="2" max="2" width="15.140625" style="20" customWidth="1"/>
    <col min="3" max="3" width="8.5703125" style="26" customWidth="1"/>
    <col min="4" max="5" width="8.5703125" style="27" customWidth="1"/>
    <col min="6" max="6" width="9.28515625" style="28" customWidth="1"/>
    <col min="7" max="7" width="7.5703125" style="28" customWidth="1"/>
    <col min="8" max="9" width="7.140625" style="28" customWidth="1"/>
    <col min="10" max="10" width="7.42578125" style="28" customWidth="1"/>
    <col min="11" max="11" width="7.28515625" style="28" customWidth="1"/>
    <col min="12" max="12" width="7.140625" style="28" customWidth="1"/>
    <col min="13" max="13" width="7.28515625" style="1" customWidth="1"/>
    <col min="14" max="14" width="7.42578125" style="1" customWidth="1"/>
    <col min="15" max="15" width="7.140625" style="1" customWidth="1"/>
    <col min="16" max="16" width="7.28515625" style="1" customWidth="1"/>
    <col min="17" max="18" width="7.42578125" style="1" customWidth="1"/>
    <col min="19" max="257" width="9.140625" style="1"/>
    <col min="258" max="258" width="70.28515625" style="1" customWidth="1"/>
    <col min="259" max="259" width="10.85546875" style="1" customWidth="1"/>
    <col min="260" max="262" width="8.5703125" style="1" customWidth="1"/>
    <col min="263" max="263" width="9.5703125" style="1" customWidth="1"/>
    <col min="264" max="264" width="8.7109375" style="1" customWidth="1"/>
    <col min="265" max="265" width="8" style="1" customWidth="1"/>
    <col min="266" max="267" width="7.42578125" style="1" customWidth="1"/>
    <col min="268" max="268" width="0" style="1" hidden="1" customWidth="1"/>
    <col min="269" max="269" width="23.28515625" style="1" customWidth="1"/>
    <col min="270" max="270" width="11.5703125" style="1" bestFit="1" customWidth="1"/>
    <col min="271" max="513" width="9.140625" style="1"/>
    <col min="514" max="514" width="70.28515625" style="1" customWidth="1"/>
    <col min="515" max="515" width="10.85546875" style="1" customWidth="1"/>
    <col min="516" max="518" width="8.5703125" style="1" customWidth="1"/>
    <col min="519" max="519" width="9.5703125" style="1" customWidth="1"/>
    <col min="520" max="520" width="8.7109375" style="1" customWidth="1"/>
    <col min="521" max="521" width="8" style="1" customWidth="1"/>
    <col min="522" max="523" width="7.42578125" style="1" customWidth="1"/>
    <col min="524" max="524" width="0" style="1" hidden="1" customWidth="1"/>
    <col min="525" max="525" width="23.28515625" style="1" customWidth="1"/>
    <col min="526" max="526" width="11.5703125" style="1" bestFit="1" customWidth="1"/>
    <col min="527" max="769" width="9.140625" style="1"/>
    <col min="770" max="770" width="70.28515625" style="1" customWidth="1"/>
    <col min="771" max="771" width="10.85546875" style="1" customWidth="1"/>
    <col min="772" max="774" width="8.5703125" style="1" customWidth="1"/>
    <col min="775" max="775" width="9.5703125" style="1" customWidth="1"/>
    <col min="776" max="776" width="8.7109375" style="1" customWidth="1"/>
    <col min="777" max="777" width="8" style="1" customWidth="1"/>
    <col min="778" max="779" width="7.42578125" style="1" customWidth="1"/>
    <col min="780" max="780" width="0" style="1" hidden="1" customWidth="1"/>
    <col min="781" max="781" width="23.28515625" style="1" customWidth="1"/>
    <col min="782" max="782" width="11.5703125" style="1" bestFit="1" customWidth="1"/>
    <col min="783" max="1025" width="9.140625" style="1"/>
    <col min="1026" max="1026" width="70.28515625" style="1" customWidth="1"/>
    <col min="1027" max="1027" width="10.85546875" style="1" customWidth="1"/>
    <col min="1028" max="1030" width="8.5703125" style="1" customWidth="1"/>
    <col min="1031" max="1031" width="9.5703125" style="1" customWidth="1"/>
    <col min="1032" max="1032" width="8.7109375" style="1" customWidth="1"/>
    <col min="1033" max="1033" width="8" style="1" customWidth="1"/>
    <col min="1034" max="1035" width="7.42578125" style="1" customWidth="1"/>
    <col min="1036" max="1036" width="0" style="1" hidden="1" customWidth="1"/>
    <col min="1037" max="1037" width="23.28515625" style="1" customWidth="1"/>
    <col min="1038" max="1038" width="11.5703125" style="1" bestFit="1" customWidth="1"/>
    <col min="1039" max="1281" width="9.140625" style="1"/>
    <col min="1282" max="1282" width="70.28515625" style="1" customWidth="1"/>
    <col min="1283" max="1283" width="10.85546875" style="1" customWidth="1"/>
    <col min="1284" max="1286" width="8.5703125" style="1" customWidth="1"/>
    <col min="1287" max="1287" width="9.5703125" style="1" customWidth="1"/>
    <col min="1288" max="1288" width="8.7109375" style="1" customWidth="1"/>
    <col min="1289" max="1289" width="8" style="1" customWidth="1"/>
    <col min="1290" max="1291" width="7.42578125" style="1" customWidth="1"/>
    <col min="1292" max="1292" width="0" style="1" hidden="1" customWidth="1"/>
    <col min="1293" max="1293" width="23.28515625" style="1" customWidth="1"/>
    <col min="1294" max="1294" width="11.5703125" style="1" bestFit="1" customWidth="1"/>
    <col min="1295" max="1537" width="9.140625" style="1"/>
    <col min="1538" max="1538" width="70.28515625" style="1" customWidth="1"/>
    <col min="1539" max="1539" width="10.85546875" style="1" customWidth="1"/>
    <col min="1540" max="1542" width="8.5703125" style="1" customWidth="1"/>
    <col min="1543" max="1543" width="9.5703125" style="1" customWidth="1"/>
    <col min="1544" max="1544" width="8.7109375" style="1" customWidth="1"/>
    <col min="1545" max="1545" width="8" style="1" customWidth="1"/>
    <col min="1546" max="1547" width="7.42578125" style="1" customWidth="1"/>
    <col min="1548" max="1548" width="0" style="1" hidden="1" customWidth="1"/>
    <col min="1549" max="1549" width="23.28515625" style="1" customWidth="1"/>
    <col min="1550" max="1550" width="11.5703125" style="1" bestFit="1" customWidth="1"/>
    <col min="1551" max="1793" width="9.140625" style="1"/>
    <col min="1794" max="1794" width="70.28515625" style="1" customWidth="1"/>
    <col min="1795" max="1795" width="10.85546875" style="1" customWidth="1"/>
    <col min="1796" max="1798" width="8.5703125" style="1" customWidth="1"/>
    <col min="1799" max="1799" width="9.5703125" style="1" customWidth="1"/>
    <col min="1800" max="1800" width="8.7109375" style="1" customWidth="1"/>
    <col min="1801" max="1801" width="8" style="1" customWidth="1"/>
    <col min="1802" max="1803" width="7.42578125" style="1" customWidth="1"/>
    <col min="1804" max="1804" width="0" style="1" hidden="1" customWidth="1"/>
    <col min="1805" max="1805" width="23.28515625" style="1" customWidth="1"/>
    <col min="1806" max="1806" width="11.5703125" style="1" bestFit="1" customWidth="1"/>
    <col min="1807" max="2049" width="9.140625" style="1"/>
    <col min="2050" max="2050" width="70.28515625" style="1" customWidth="1"/>
    <col min="2051" max="2051" width="10.85546875" style="1" customWidth="1"/>
    <col min="2052" max="2054" width="8.5703125" style="1" customWidth="1"/>
    <col min="2055" max="2055" width="9.5703125" style="1" customWidth="1"/>
    <col min="2056" max="2056" width="8.7109375" style="1" customWidth="1"/>
    <col min="2057" max="2057" width="8" style="1" customWidth="1"/>
    <col min="2058" max="2059" width="7.42578125" style="1" customWidth="1"/>
    <col min="2060" max="2060" width="0" style="1" hidden="1" customWidth="1"/>
    <col min="2061" max="2061" width="23.28515625" style="1" customWidth="1"/>
    <col min="2062" max="2062" width="11.5703125" style="1" bestFit="1" customWidth="1"/>
    <col min="2063" max="2305" width="9.140625" style="1"/>
    <col min="2306" max="2306" width="70.28515625" style="1" customWidth="1"/>
    <col min="2307" max="2307" width="10.85546875" style="1" customWidth="1"/>
    <col min="2308" max="2310" width="8.5703125" style="1" customWidth="1"/>
    <col min="2311" max="2311" width="9.5703125" style="1" customWidth="1"/>
    <col min="2312" max="2312" width="8.7109375" style="1" customWidth="1"/>
    <col min="2313" max="2313" width="8" style="1" customWidth="1"/>
    <col min="2314" max="2315" width="7.42578125" style="1" customWidth="1"/>
    <col min="2316" max="2316" width="0" style="1" hidden="1" customWidth="1"/>
    <col min="2317" max="2317" width="23.28515625" style="1" customWidth="1"/>
    <col min="2318" max="2318" width="11.5703125" style="1" bestFit="1" customWidth="1"/>
    <col min="2319" max="2561" width="9.140625" style="1"/>
    <col min="2562" max="2562" width="70.28515625" style="1" customWidth="1"/>
    <col min="2563" max="2563" width="10.85546875" style="1" customWidth="1"/>
    <col min="2564" max="2566" width="8.5703125" style="1" customWidth="1"/>
    <col min="2567" max="2567" width="9.5703125" style="1" customWidth="1"/>
    <col min="2568" max="2568" width="8.7109375" style="1" customWidth="1"/>
    <col min="2569" max="2569" width="8" style="1" customWidth="1"/>
    <col min="2570" max="2571" width="7.42578125" style="1" customWidth="1"/>
    <col min="2572" max="2572" width="0" style="1" hidden="1" customWidth="1"/>
    <col min="2573" max="2573" width="23.28515625" style="1" customWidth="1"/>
    <col min="2574" max="2574" width="11.5703125" style="1" bestFit="1" customWidth="1"/>
    <col min="2575" max="2817" width="9.140625" style="1"/>
    <col min="2818" max="2818" width="70.28515625" style="1" customWidth="1"/>
    <col min="2819" max="2819" width="10.85546875" style="1" customWidth="1"/>
    <col min="2820" max="2822" width="8.5703125" style="1" customWidth="1"/>
    <col min="2823" max="2823" width="9.5703125" style="1" customWidth="1"/>
    <col min="2824" max="2824" width="8.7109375" style="1" customWidth="1"/>
    <col min="2825" max="2825" width="8" style="1" customWidth="1"/>
    <col min="2826" max="2827" width="7.42578125" style="1" customWidth="1"/>
    <col min="2828" max="2828" width="0" style="1" hidden="1" customWidth="1"/>
    <col min="2829" max="2829" width="23.28515625" style="1" customWidth="1"/>
    <col min="2830" max="2830" width="11.5703125" style="1" bestFit="1" customWidth="1"/>
    <col min="2831" max="3073" width="9.140625" style="1"/>
    <col min="3074" max="3074" width="70.28515625" style="1" customWidth="1"/>
    <col min="3075" max="3075" width="10.85546875" style="1" customWidth="1"/>
    <col min="3076" max="3078" width="8.5703125" style="1" customWidth="1"/>
    <col min="3079" max="3079" width="9.5703125" style="1" customWidth="1"/>
    <col min="3080" max="3080" width="8.7109375" style="1" customWidth="1"/>
    <col min="3081" max="3081" width="8" style="1" customWidth="1"/>
    <col min="3082" max="3083" width="7.42578125" style="1" customWidth="1"/>
    <col min="3084" max="3084" width="0" style="1" hidden="1" customWidth="1"/>
    <col min="3085" max="3085" width="23.28515625" style="1" customWidth="1"/>
    <col min="3086" max="3086" width="11.5703125" style="1" bestFit="1" customWidth="1"/>
    <col min="3087" max="3329" width="9.140625" style="1"/>
    <col min="3330" max="3330" width="70.28515625" style="1" customWidth="1"/>
    <col min="3331" max="3331" width="10.85546875" style="1" customWidth="1"/>
    <col min="3332" max="3334" width="8.5703125" style="1" customWidth="1"/>
    <col min="3335" max="3335" width="9.5703125" style="1" customWidth="1"/>
    <col min="3336" max="3336" width="8.7109375" style="1" customWidth="1"/>
    <col min="3337" max="3337" width="8" style="1" customWidth="1"/>
    <col min="3338" max="3339" width="7.42578125" style="1" customWidth="1"/>
    <col min="3340" max="3340" width="0" style="1" hidden="1" customWidth="1"/>
    <col min="3341" max="3341" width="23.28515625" style="1" customWidth="1"/>
    <col min="3342" max="3342" width="11.5703125" style="1" bestFit="1" customWidth="1"/>
    <col min="3343" max="3585" width="9.140625" style="1"/>
    <col min="3586" max="3586" width="70.28515625" style="1" customWidth="1"/>
    <col min="3587" max="3587" width="10.85546875" style="1" customWidth="1"/>
    <col min="3588" max="3590" width="8.5703125" style="1" customWidth="1"/>
    <col min="3591" max="3591" width="9.5703125" style="1" customWidth="1"/>
    <col min="3592" max="3592" width="8.7109375" style="1" customWidth="1"/>
    <col min="3593" max="3593" width="8" style="1" customWidth="1"/>
    <col min="3594" max="3595" width="7.42578125" style="1" customWidth="1"/>
    <col min="3596" max="3596" width="0" style="1" hidden="1" customWidth="1"/>
    <col min="3597" max="3597" width="23.28515625" style="1" customWidth="1"/>
    <col min="3598" max="3598" width="11.5703125" style="1" bestFit="1" customWidth="1"/>
    <col min="3599" max="3841" width="9.140625" style="1"/>
    <col min="3842" max="3842" width="70.28515625" style="1" customWidth="1"/>
    <col min="3843" max="3843" width="10.85546875" style="1" customWidth="1"/>
    <col min="3844" max="3846" width="8.5703125" style="1" customWidth="1"/>
    <col min="3847" max="3847" width="9.5703125" style="1" customWidth="1"/>
    <col min="3848" max="3848" width="8.7109375" style="1" customWidth="1"/>
    <col min="3849" max="3849" width="8" style="1" customWidth="1"/>
    <col min="3850" max="3851" width="7.42578125" style="1" customWidth="1"/>
    <col min="3852" max="3852" width="0" style="1" hidden="1" customWidth="1"/>
    <col min="3853" max="3853" width="23.28515625" style="1" customWidth="1"/>
    <col min="3854" max="3854" width="11.5703125" style="1" bestFit="1" customWidth="1"/>
    <col min="3855" max="4097" width="9.140625" style="1"/>
    <col min="4098" max="4098" width="70.28515625" style="1" customWidth="1"/>
    <col min="4099" max="4099" width="10.85546875" style="1" customWidth="1"/>
    <col min="4100" max="4102" width="8.5703125" style="1" customWidth="1"/>
    <col min="4103" max="4103" width="9.5703125" style="1" customWidth="1"/>
    <col min="4104" max="4104" width="8.7109375" style="1" customWidth="1"/>
    <col min="4105" max="4105" width="8" style="1" customWidth="1"/>
    <col min="4106" max="4107" width="7.42578125" style="1" customWidth="1"/>
    <col min="4108" max="4108" width="0" style="1" hidden="1" customWidth="1"/>
    <col min="4109" max="4109" width="23.28515625" style="1" customWidth="1"/>
    <col min="4110" max="4110" width="11.5703125" style="1" bestFit="1" customWidth="1"/>
    <col min="4111" max="4353" width="9.140625" style="1"/>
    <col min="4354" max="4354" width="70.28515625" style="1" customWidth="1"/>
    <col min="4355" max="4355" width="10.85546875" style="1" customWidth="1"/>
    <col min="4356" max="4358" width="8.5703125" style="1" customWidth="1"/>
    <col min="4359" max="4359" width="9.5703125" style="1" customWidth="1"/>
    <col min="4360" max="4360" width="8.7109375" style="1" customWidth="1"/>
    <col min="4361" max="4361" width="8" style="1" customWidth="1"/>
    <col min="4362" max="4363" width="7.42578125" style="1" customWidth="1"/>
    <col min="4364" max="4364" width="0" style="1" hidden="1" customWidth="1"/>
    <col min="4365" max="4365" width="23.28515625" style="1" customWidth="1"/>
    <col min="4366" max="4366" width="11.5703125" style="1" bestFit="1" customWidth="1"/>
    <col min="4367" max="4609" width="9.140625" style="1"/>
    <col min="4610" max="4610" width="70.28515625" style="1" customWidth="1"/>
    <col min="4611" max="4611" width="10.85546875" style="1" customWidth="1"/>
    <col min="4612" max="4614" width="8.5703125" style="1" customWidth="1"/>
    <col min="4615" max="4615" width="9.5703125" style="1" customWidth="1"/>
    <col min="4616" max="4616" width="8.7109375" style="1" customWidth="1"/>
    <col min="4617" max="4617" width="8" style="1" customWidth="1"/>
    <col min="4618" max="4619" width="7.42578125" style="1" customWidth="1"/>
    <col min="4620" max="4620" width="0" style="1" hidden="1" customWidth="1"/>
    <col min="4621" max="4621" width="23.28515625" style="1" customWidth="1"/>
    <col min="4622" max="4622" width="11.5703125" style="1" bestFit="1" customWidth="1"/>
    <col min="4623" max="4865" width="9.140625" style="1"/>
    <col min="4866" max="4866" width="70.28515625" style="1" customWidth="1"/>
    <col min="4867" max="4867" width="10.85546875" style="1" customWidth="1"/>
    <col min="4868" max="4870" width="8.5703125" style="1" customWidth="1"/>
    <col min="4871" max="4871" width="9.5703125" style="1" customWidth="1"/>
    <col min="4872" max="4872" width="8.7109375" style="1" customWidth="1"/>
    <col min="4873" max="4873" width="8" style="1" customWidth="1"/>
    <col min="4874" max="4875" width="7.42578125" style="1" customWidth="1"/>
    <col min="4876" max="4876" width="0" style="1" hidden="1" customWidth="1"/>
    <col min="4877" max="4877" width="23.28515625" style="1" customWidth="1"/>
    <col min="4878" max="4878" width="11.5703125" style="1" bestFit="1" customWidth="1"/>
    <col min="4879" max="5121" width="9.140625" style="1"/>
    <col min="5122" max="5122" width="70.28515625" style="1" customWidth="1"/>
    <col min="5123" max="5123" width="10.85546875" style="1" customWidth="1"/>
    <col min="5124" max="5126" width="8.5703125" style="1" customWidth="1"/>
    <col min="5127" max="5127" width="9.5703125" style="1" customWidth="1"/>
    <col min="5128" max="5128" width="8.7109375" style="1" customWidth="1"/>
    <col min="5129" max="5129" width="8" style="1" customWidth="1"/>
    <col min="5130" max="5131" width="7.42578125" style="1" customWidth="1"/>
    <col min="5132" max="5132" width="0" style="1" hidden="1" customWidth="1"/>
    <col min="5133" max="5133" width="23.28515625" style="1" customWidth="1"/>
    <col min="5134" max="5134" width="11.5703125" style="1" bestFit="1" customWidth="1"/>
    <col min="5135" max="5377" width="9.140625" style="1"/>
    <col min="5378" max="5378" width="70.28515625" style="1" customWidth="1"/>
    <col min="5379" max="5379" width="10.85546875" style="1" customWidth="1"/>
    <col min="5380" max="5382" width="8.5703125" style="1" customWidth="1"/>
    <col min="5383" max="5383" width="9.5703125" style="1" customWidth="1"/>
    <col min="5384" max="5384" width="8.7109375" style="1" customWidth="1"/>
    <col min="5385" max="5385" width="8" style="1" customWidth="1"/>
    <col min="5386" max="5387" width="7.42578125" style="1" customWidth="1"/>
    <col min="5388" max="5388" width="0" style="1" hidden="1" customWidth="1"/>
    <col min="5389" max="5389" width="23.28515625" style="1" customWidth="1"/>
    <col min="5390" max="5390" width="11.5703125" style="1" bestFit="1" customWidth="1"/>
    <col min="5391" max="5633" width="9.140625" style="1"/>
    <col min="5634" max="5634" width="70.28515625" style="1" customWidth="1"/>
    <col min="5635" max="5635" width="10.85546875" style="1" customWidth="1"/>
    <col min="5636" max="5638" width="8.5703125" style="1" customWidth="1"/>
    <col min="5639" max="5639" width="9.5703125" style="1" customWidth="1"/>
    <col min="5640" max="5640" width="8.7109375" style="1" customWidth="1"/>
    <col min="5641" max="5641" width="8" style="1" customWidth="1"/>
    <col min="5642" max="5643" width="7.42578125" style="1" customWidth="1"/>
    <col min="5644" max="5644" width="0" style="1" hidden="1" customWidth="1"/>
    <col min="5645" max="5645" width="23.28515625" style="1" customWidth="1"/>
    <col min="5646" max="5646" width="11.5703125" style="1" bestFit="1" customWidth="1"/>
    <col min="5647" max="5889" width="9.140625" style="1"/>
    <col min="5890" max="5890" width="70.28515625" style="1" customWidth="1"/>
    <col min="5891" max="5891" width="10.85546875" style="1" customWidth="1"/>
    <col min="5892" max="5894" width="8.5703125" style="1" customWidth="1"/>
    <col min="5895" max="5895" width="9.5703125" style="1" customWidth="1"/>
    <col min="5896" max="5896" width="8.7109375" style="1" customWidth="1"/>
    <col min="5897" max="5897" width="8" style="1" customWidth="1"/>
    <col min="5898" max="5899" width="7.42578125" style="1" customWidth="1"/>
    <col min="5900" max="5900" width="0" style="1" hidden="1" customWidth="1"/>
    <col min="5901" max="5901" width="23.28515625" style="1" customWidth="1"/>
    <col min="5902" max="5902" width="11.5703125" style="1" bestFit="1" customWidth="1"/>
    <col min="5903" max="6145" width="9.140625" style="1"/>
    <col min="6146" max="6146" width="70.28515625" style="1" customWidth="1"/>
    <col min="6147" max="6147" width="10.85546875" style="1" customWidth="1"/>
    <col min="6148" max="6150" width="8.5703125" style="1" customWidth="1"/>
    <col min="6151" max="6151" width="9.5703125" style="1" customWidth="1"/>
    <col min="6152" max="6152" width="8.7109375" style="1" customWidth="1"/>
    <col min="6153" max="6153" width="8" style="1" customWidth="1"/>
    <col min="6154" max="6155" width="7.42578125" style="1" customWidth="1"/>
    <col min="6156" max="6156" width="0" style="1" hidden="1" customWidth="1"/>
    <col min="6157" max="6157" width="23.28515625" style="1" customWidth="1"/>
    <col min="6158" max="6158" width="11.5703125" style="1" bestFit="1" customWidth="1"/>
    <col min="6159" max="6401" width="9.140625" style="1"/>
    <col min="6402" max="6402" width="70.28515625" style="1" customWidth="1"/>
    <col min="6403" max="6403" width="10.85546875" style="1" customWidth="1"/>
    <col min="6404" max="6406" width="8.5703125" style="1" customWidth="1"/>
    <col min="6407" max="6407" width="9.5703125" style="1" customWidth="1"/>
    <col min="6408" max="6408" width="8.7109375" style="1" customWidth="1"/>
    <col min="6409" max="6409" width="8" style="1" customWidth="1"/>
    <col min="6410" max="6411" width="7.42578125" style="1" customWidth="1"/>
    <col min="6412" max="6412" width="0" style="1" hidden="1" customWidth="1"/>
    <col min="6413" max="6413" width="23.28515625" style="1" customWidth="1"/>
    <col min="6414" max="6414" width="11.5703125" style="1" bestFit="1" customWidth="1"/>
    <col min="6415" max="6657" width="9.140625" style="1"/>
    <col min="6658" max="6658" width="70.28515625" style="1" customWidth="1"/>
    <col min="6659" max="6659" width="10.85546875" style="1" customWidth="1"/>
    <col min="6660" max="6662" width="8.5703125" style="1" customWidth="1"/>
    <col min="6663" max="6663" width="9.5703125" style="1" customWidth="1"/>
    <col min="6664" max="6664" width="8.7109375" style="1" customWidth="1"/>
    <col min="6665" max="6665" width="8" style="1" customWidth="1"/>
    <col min="6666" max="6667" width="7.42578125" style="1" customWidth="1"/>
    <col min="6668" max="6668" width="0" style="1" hidden="1" customWidth="1"/>
    <col min="6669" max="6669" width="23.28515625" style="1" customWidth="1"/>
    <col min="6670" max="6670" width="11.5703125" style="1" bestFit="1" customWidth="1"/>
    <col min="6671" max="6913" width="9.140625" style="1"/>
    <col min="6914" max="6914" width="70.28515625" style="1" customWidth="1"/>
    <col min="6915" max="6915" width="10.85546875" style="1" customWidth="1"/>
    <col min="6916" max="6918" width="8.5703125" style="1" customWidth="1"/>
    <col min="6919" max="6919" width="9.5703125" style="1" customWidth="1"/>
    <col min="6920" max="6920" width="8.7109375" style="1" customWidth="1"/>
    <col min="6921" max="6921" width="8" style="1" customWidth="1"/>
    <col min="6922" max="6923" width="7.42578125" style="1" customWidth="1"/>
    <col min="6924" max="6924" width="0" style="1" hidden="1" customWidth="1"/>
    <col min="6925" max="6925" width="23.28515625" style="1" customWidth="1"/>
    <col min="6926" max="6926" width="11.5703125" style="1" bestFit="1" customWidth="1"/>
    <col min="6927" max="7169" width="9.140625" style="1"/>
    <col min="7170" max="7170" width="70.28515625" style="1" customWidth="1"/>
    <col min="7171" max="7171" width="10.85546875" style="1" customWidth="1"/>
    <col min="7172" max="7174" width="8.5703125" style="1" customWidth="1"/>
    <col min="7175" max="7175" width="9.5703125" style="1" customWidth="1"/>
    <col min="7176" max="7176" width="8.7109375" style="1" customWidth="1"/>
    <col min="7177" max="7177" width="8" style="1" customWidth="1"/>
    <col min="7178" max="7179" width="7.42578125" style="1" customWidth="1"/>
    <col min="7180" max="7180" width="0" style="1" hidden="1" customWidth="1"/>
    <col min="7181" max="7181" width="23.28515625" style="1" customWidth="1"/>
    <col min="7182" max="7182" width="11.5703125" style="1" bestFit="1" customWidth="1"/>
    <col min="7183" max="7425" width="9.140625" style="1"/>
    <col min="7426" max="7426" width="70.28515625" style="1" customWidth="1"/>
    <col min="7427" max="7427" width="10.85546875" style="1" customWidth="1"/>
    <col min="7428" max="7430" width="8.5703125" style="1" customWidth="1"/>
    <col min="7431" max="7431" width="9.5703125" style="1" customWidth="1"/>
    <col min="7432" max="7432" width="8.7109375" style="1" customWidth="1"/>
    <col min="7433" max="7433" width="8" style="1" customWidth="1"/>
    <col min="7434" max="7435" width="7.42578125" style="1" customWidth="1"/>
    <col min="7436" max="7436" width="0" style="1" hidden="1" customWidth="1"/>
    <col min="7437" max="7437" width="23.28515625" style="1" customWidth="1"/>
    <col min="7438" max="7438" width="11.5703125" style="1" bestFit="1" customWidth="1"/>
    <col min="7439" max="7681" width="9.140625" style="1"/>
    <col min="7682" max="7682" width="70.28515625" style="1" customWidth="1"/>
    <col min="7683" max="7683" width="10.85546875" style="1" customWidth="1"/>
    <col min="7684" max="7686" width="8.5703125" style="1" customWidth="1"/>
    <col min="7687" max="7687" width="9.5703125" style="1" customWidth="1"/>
    <col min="7688" max="7688" width="8.7109375" style="1" customWidth="1"/>
    <col min="7689" max="7689" width="8" style="1" customWidth="1"/>
    <col min="7690" max="7691" width="7.42578125" style="1" customWidth="1"/>
    <col min="7692" max="7692" width="0" style="1" hidden="1" customWidth="1"/>
    <col min="7693" max="7693" width="23.28515625" style="1" customWidth="1"/>
    <col min="7694" max="7694" width="11.5703125" style="1" bestFit="1" customWidth="1"/>
    <col min="7695" max="7937" width="9.140625" style="1"/>
    <col min="7938" max="7938" width="70.28515625" style="1" customWidth="1"/>
    <col min="7939" max="7939" width="10.85546875" style="1" customWidth="1"/>
    <col min="7940" max="7942" width="8.5703125" style="1" customWidth="1"/>
    <col min="7943" max="7943" width="9.5703125" style="1" customWidth="1"/>
    <col min="7944" max="7944" width="8.7109375" style="1" customWidth="1"/>
    <col min="7945" max="7945" width="8" style="1" customWidth="1"/>
    <col min="7946" max="7947" width="7.42578125" style="1" customWidth="1"/>
    <col min="7948" max="7948" width="0" style="1" hidden="1" customWidth="1"/>
    <col min="7949" max="7949" width="23.28515625" style="1" customWidth="1"/>
    <col min="7950" max="7950" width="11.5703125" style="1" bestFit="1" customWidth="1"/>
    <col min="7951" max="8193" width="9.140625" style="1"/>
    <col min="8194" max="8194" width="70.28515625" style="1" customWidth="1"/>
    <col min="8195" max="8195" width="10.85546875" style="1" customWidth="1"/>
    <col min="8196" max="8198" width="8.5703125" style="1" customWidth="1"/>
    <col min="8199" max="8199" width="9.5703125" style="1" customWidth="1"/>
    <col min="8200" max="8200" width="8.7109375" style="1" customWidth="1"/>
    <col min="8201" max="8201" width="8" style="1" customWidth="1"/>
    <col min="8202" max="8203" width="7.42578125" style="1" customWidth="1"/>
    <col min="8204" max="8204" width="0" style="1" hidden="1" customWidth="1"/>
    <col min="8205" max="8205" width="23.28515625" style="1" customWidth="1"/>
    <col min="8206" max="8206" width="11.5703125" style="1" bestFit="1" customWidth="1"/>
    <col min="8207" max="8449" width="9.140625" style="1"/>
    <col min="8450" max="8450" width="70.28515625" style="1" customWidth="1"/>
    <col min="8451" max="8451" width="10.85546875" style="1" customWidth="1"/>
    <col min="8452" max="8454" width="8.5703125" style="1" customWidth="1"/>
    <col min="8455" max="8455" width="9.5703125" style="1" customWidth="1"/>
    <col min="8456" max="8456" width="8.7109375" style="1" customWidth="1"/>
    <col min="8457" max="8457" width="8" style="1" customWidth="1"/>
    <col min="8458" max="8459" width="7.42578125" style="1" customWidth="1"/>
    <col min="8460" max="8460" width="0" style="1" hidden="1" customWidth="1"/>
    <col min="8461" max="8461" width="23.28515625" style="1" customWidth="1"/>
    <col min="8462" max="8462" width="11.5703125" style="1" bestFit="1" customWidth="1"/>
    <col min="8463" max="8705" width="9.140625" style="1"/>
    <col min="8706" max="8706" width="70.28515625" style="1" customWidth="1"/>
    <col min="8707" max="8707" width="10.85546875" style="1" customWidth="1"/>
    <col min="8708" max="8710" width="8.5703125" style="1" customWidth="1"/>
    <col min="8711" max="8711" width="9.5703125" style="1" customWidth="1"/>
    <col min="8712" max="8712" width="8.7109375" style="1" customWidth="1"/>
    <col min="8713" max="8713" width="8" style="1" customWidth="1"/>
    <col min="8714" max="8715" width="7.42578125" style="1" customWidth="1"/>
    <col min="8716" max="8716" width="0" style="1" hidden="1" customWidth="1"/>
    <col min="8717" max="8717" width="23.28515625" style="1" customWidth="1"/>
    <col min="8718" max="8718" width="11.5703125" style="1" bestFit="1" customWidth="1"/>
    <col min="8719" max="8961" width="9.140625" style="1"/>
    <col min="8962" max="8962" width="70.28515625" style="1" customWidth="1"/>
    <col min="8963" max="8963" width="10.85546875" style="1" customWidth="1"/>
    <col min="8964" max="8966" width="8.5703125" style="1" customWidth="1"/>
    <col min="8967" max="8967" width="9.5703125" style="1" customWidth="1"/>
    <col min="8968" max="8968" width="8.7109375" style="1" customWidth="1"/>
    <col min="8969" max="8969" width="8" style="1" customWidth="1"/>
    <col min="8970" max="8971" width="7.42578125" style="1" customWidth="1"/>
    <col min="8972" max="8972" width="0" style="1" hidden="1" customWidth="1"/>
    <col min="8973" max="8973" width="23.28515625" style="1" customWidth="1"/>
    <col min="8974" max="8974" width="11.5703125" style="1" bestFit="1" customWidth="1"/>
    <col min="8975" max="9217" width="9.140625" style="1"/>
    <col min="9218" max="9218" width="70.28515625" style="1" customWidth="1"/>
    <col min="9219" max="9219" width="10.85546875" style="1" customWidth="1"/>
    <col min="9220" max="9222" width="8.5703125" style="1" customWidth="1"/>
    <col min="9223" max="9223" width="9.5703125" style="1" customWidth="1"/>
    <col min="9224" max="9224" width="8.7109375" style="1" customWidth="1"/>
    <col min="9225" max="9225" width="8" style="1" customWidth="1"/>
    <col min="9226" max="9227" width="7.42578125" style="1" customWidth="1"/>
    <col min="9228" max="9228" width="0" style="1" hidden="1" customWidth="1"/>
    <col min="9229" max="9229" width="23.28515625" style="1" customWidth="1"/>
    <col min="9230" max="9230" width="11.5703125" style="1" bestFit="1" customWidth="1"/>
    <col min="9231" max="9473" width="9.140625" style="1"/>
    <col min="9474" max="9474" width="70.28515625" style="1" customWidth="1"/>
    <col min="9475" max="9475" width="10.85546875" style="1" customWidth="1"/>
    <col min="9476" max="9478" width="8.5703125" style="1" customWidth="1"/>
    <col min="9479" max="9479" width="9.5703125" style="1" customWidth="1"/>
    <col min="9480" max="9480" width="8.7109375" style="1" customWidth="1"/>
    <col min="9481" max="9481" width="8" style="1" customWidth="1"/>
    <col min="9482" max="9483" width="7.42578125" style="1" customWidth="1"/>
    <col min="9484" max="9484" width="0" style="1" hidden="1" customWidth="1"/>
    <col min="9485" max="9485" width="23.28515625" style="1" customWidth="1"/>
    <col min="9486" max="9486" width="11.5703125" style="1" bestFit="1" customWidth="1"/>
    <col min="9487" max="9729" width="9.140625" style="1"/>
    <col min="9730" max="9730" width="70.28515625" style="1" customWidth="1"/>
    <col min="9731" max="9731" width="10.85546875" style="1" customWidth="1"/>
    <col min="9732" max="9734" width="8.5703125" style="1" customWidth="1"/>
    <col min="9735" max="9735" width="9.5703125" style="1" customWidth="1"/>
    <col min="9736" max="9736" width="8.7109375" style="1" customWidth="1"/>
    <col min="9737" max="9737" width="8" style="1" customWidth="1"/>
    <col min="9738" max="9739" width="7.42578125" style="1" customWidth="1"/>
    <col min="9740" max="9740" width="0" style="1" hidden="1" customWidth="1"/>
    <col min="9741" max="9741" width="23.28515625" style="1" customWidth="1"/>
    <col min="9742" max="9742" width="11.5703125" style="1" bestFit="1" customWidth="1"/>
    <col min="9743" max="9985" width="9.140625" style="1"/>
    <col min="9986" max="9986" width="70.28515625" style="1" customWidth="1"/>
    <col min="9987" max="9987" width="10.85546875" style="1" customWidth="1"/>
    <col min="9988" max="9990" width="8.5703125" style="1" customWidth="1"/>
    <col min="9991" max="9991" width="9.5703125" style="1" customWidth="1"/>
    <col min="9992" max="9992" width="8.7109375" style="1" customWidth="1"/>
    <col min="9993" max="9993" width="8" style="1" customWidth="1"/>
    <col min="9994" max="9995" width="7.42578125" style="1" customWidth="1"/>
    <col min="9996" max="9996" width="0" style="1" hidden="1" customWidth="1"/>
    <col min="9997" max="9997" width="23.28515625" style="1" customWidth="1"/>
    <col min="9998" max="9998" width="11.5703125" style="1" bestFit="1" customWidth="1"/>
    <col min="9999" max="10241" width="9.140625" style="1"/>
    <col min="10242" max="10242" width="70.28515625" style="1" customWidth="1"/>
    <col min="10243" max="10243" width="10.85546875" style="1" customWidth="1"/>
    <col min="10244" max="10246" width="8.5703125" style="1" customWidth="1"/>
    <col min="10247" max="10247" width="9.5703125" style="1" customWidth="1"/>
    <col min="10248" max="10248" width="8.7109375" style="1" customWidth="1"/>
    <col min="10249" max="10249" width="8" style="1" customWidth="1"/>
    <col min="10250" max="10251" width="7.42578125" style="1" customWidth="1"/>
    <col min="10252" max="10252" width="0" style="1" hidden="1" customWidth="1"/>
    <col min="10253" max="10253" width="23.28515625" style="1" customWidth="1"/>
    <col min="10254" max="10254" width="11.5703125" style="1" bestFit="1" customWidth="1"/>
    <col min="10255" max="10497" width="9.140625" style="1"/>
    <col min="10498" max="10498" width="70.28515625" style="1" customWidth="1"/>
    <col min="10499" max="10499" width="10.85546875" style="1" customWidth="1"/>
    <col min="10500" max="10502" width="8.5703125" style="1" customWidth="1"/>
    <col min="10503" max="10503" width="9.5703125" style="1" customWidth="1"/>
    <col min="10504" max="10504" width="8.7109375" style="1" customWidth="1"/>
    <col min="10505" max="10505" width="8" style="1" customWidth="1"/>
    <col min="10506" max="10507" width="7.42578125" style="1" customWidth="1"/>
    <col min="10508" max="10508" width="0" style="1" hidden="1" customWidth="1"/>
    <col min="10509" max="10509" width="23.28515625" style="1" customWidth="1"/>
    <col min="10510" max="10510" width="11.5703125" style="1" bestFit="1" customWidth="1"/>
    <col min="10511" max="10753" width="9.140625" style="1"/>
    <col min="10754" max="10754" width="70.28515625" style="1" customWidth="1"/>
    <col min="10755" max="10755" width="10.85546875" style="1" customWidth="1"/>
    <col min="10756" max="10758" width="8.5703125" style="1" customWidth="1"/>
    <col min="10759" max="10759" width="9.5703125" style="1" customWidth="1"/>
    <col min="10760" max="10760" width="8.7109375" style="1" customWidth="1"/>
    <col min="10761" max="10761" width="8" style="1" customWidth="1"/>
    <col min="10762" max="10763" width="7.42578125" style="1" customWidth="1"/>
    <col min="10764" max="10764" width="0" style="1" hidden="1" customWidth="1"/>
    <col min="10765" max="10765" width="23.28515625" style="1" customWidth="1"/>
    <col min="10766" max="10766" width="11.5703125" style="1" bestFit="1" customWidth="1"/>
    <col min="10767" max="11009" width="9.140625" style="1"/>
    <col min="11010" max="11010" width="70.28515625" style="1" customWidth="1"/>
    <col min="11011" max="11011" width="10.85546875" style="1" customWidth="1"/>
    <col min="11012" max="11014" width="8.5703125" style="1" customWidth="1"/>
    <col min="11015" max="11015" width="9.5703125" style="1" customWidth="1"/>
    <col min="11016" max="11016" width="8.7109375" style="1" customWidth="1"/>
    <col min="11017" max="11017" width="8" style="1" customWidth="1"/>
    <col min="11018" max="11019" width="7.42578125" style="1" customWidth="1"/>
    <col min="11020" max="11020" width="0" style="1" hidden="1" customWidth="1"/>
    <col min="11021" max="11021" width="23.28515625" style="1" customWidth="1"/>
    <col min="11022" max="11022" width="11.5703125" style="1" bestFit="1" customWidth="1"/>
    <col min="11023" max="11265" width="9.140625" style="1"/>
    <col min="11266" max="11266" width="70.28515625" style="1" customWidth="1"/>
    <col min="11267" max="11267" width="10.85546875" style="1" customWidth="1"/>
    <col min="11268" max="11270" width="8.5703125" style="1" customWidth="1"/>
    <col min="11271" max="11271" width="9.5703125" style="1" customWidth="1"/>
    <col min="11272" max="11272" width="8.7109375" style="1" customWidth="1"/>
    <col min="11273" max="11273" width="8" style="1" customWidth="1"/>
    <col min="11274" max="11275" width="7.42578125" style="1" customWidth="1"/>
    <col min="11276" max="11276" width="0" style="1" hidden="1" customWidth="1"/>
    <col min="11277" max="11277" width="23.28515625" style="1" customWidth="1"/>
    <col min="11278" max="11278" width="11.5703125" style="1" bestFit="1" customWidth="1"/>
    <col min="11279" max="11521" width="9.140625" style="1"/>
    <col min="11522" max="11522" width="70.28515625" style="1" customWidth="1"/>
    <col min="11523" max="11523" width="10.85546875" style="1" customWidth="1"/>
    <col min="11524" max="11526" width="8.5703125" style="1" customWidth="1"/>
    <col min="11527" max="11527" width="9.5703125" style="1" customWidth="1"/>
    <col min="11528" max="11528" width="8.7109375" style="1" customWidth="1"/>
    <col min="11529" max="11529" width="8" style="1" customWidth="1"/>
    <col min="11530" max="11531" width="7.42578125" style="1" customWidth="1"/>
    <col min="11532" max="11532" width="0" style="1" hidden="1" customWidth="1"/>
    <col min="11533" max="11533" width="23.28515625" style="1" customWidth="1"/>
    <col min="11534" max="11534" width="11.5703125" style="1" bestFit="1" customWidth="1"/>
    <col min="11535" max="11777" width="9.140625" style="1"/>
    <col min="11778" max="11778" width="70.28515625" style="1" customWidth="1"/>
    <col min="11779" max="11779" width="10.85546875" style="1" customWidth="1"/>
    <col min="11780" max="11782" width="8.5703125" style="1" customWidth="1"/>
    <col min="11783" max="11783" width="9.5703125" style="1" customWidth="1"/>
    <col min="11784" max="11784" width="8.7109375" style="1" customWidth="1"/>
    <col min="11785" max="11785" width="8" style="1" customWidth="1"/>
    <col min="11786" max="11787" width="7.42578125" style="1" customWidth="1"/>
    <col min="11788" max="11788" width="0" style="1" hidden="1" customWidth="1"/>
    <col min="11789" max="11789" width="23.28515625" style="1" customWidth="1"/>
    <col min="11790" max="11790" width="11.5703125" style="1" bestFit="1" customWidth="1"/>
    <col min="11791" max="12033" width="9.140625" style="1"/>
    <col min="12034" max="12034" width="70.28515625" style="1" customWidth="1"/>
    <col min="12035" max="12035" width="10.85546875" style="1" customWidth="1"/>
    <col min="12036" max="12038" width="8.5703125" style="1" customWidth="1"/>
    <col min="12039" max="12039" width="9.5703125" style="1" customWidth="1"/>
    <col min="12040" max="12040" width="8.7109375" style="1" customWidth="1"/>
    <col min="12041" max="12041" width="8" style="1" customWidth="1"/>
    <col min="12042" max="12043" width="7.42578125" style="1" customWidth="1"/>
    <col min="12044" max="12044" width="0" style="1" hidden="1" customWidth="1"/>
    <col min="12045" max="12045" width="23.28515625" style="1" customWidth="1"/>
    <col min="12046" max="12046" width="11.5703125" style="1" bestFit="1" customWidth="1"/>
    <col min="12047" max="12289" width="9.140625" style="1"/>
    <col min="12290" max="12290" width="70.28515625" style="1" customWidth="1"/>
    <col min="12291" max="12291" width="10.85546875" style="1" customWidth="1"/>
    <col min="12292" max="12294" width="8.5703125" style="1" customWidth="1"/>
    <col min="12295" max="12295" width="9.5703125" style="1" customWidth="1"/>
    <col min="12296" max="12296" width="8.7109375" style="1" customWidth="1"/>
    <col min="12297" max="12297" width="8" style="1" customWidth="1"/>
    <col min="12298" max="12299" width="7.42578125" style="1" customWidth="1"/>
    <col min="12300" max="12300" width="0" style="1" hidden="1" customWidth="1"/>
    <col min="12301" max="12301" width="23.28515625" style="1" customWidth="1"/>
    <col min="12302" max="12302" width="11.5703125" style="1" bestFit="1" customWidth="1"/>
    <col min="12303" max="12545" width="9.140625" style="1"/>
    <col min="12546" max="12546" width="70.28515625" style="1" customWidth="1"/>
    <col min="12547" max="12547" width="10.85546875" style="1" customWidth="1"/>
    <col min="12548" max="12550" width="8.5703125" style="1" customWidth="1"/>
    <col min="12551" max="12551" width="9.5703125" style="1" customWidth="1"/>
    <col min="12552" max="12552" width="8.7109375" style="1" customWidth="1"/>
    <col min="12553" max="12553" width="8" style="1" customWidth="1"/>
    <col min="12554" max="12555" width="7.42578125" style="1" customWidth="1"/>
    <col min="12556" max="12556" width="0" style="1" hidden="1" customWidth="1"/>
    <col min="12557" max="12557" width="23.28515625" style="1" customWidth="1"/>
    <col min="12558" max="12558" width="11.5703125" style="1" bestFit="1" customWidth="1"/>
    <col min="12559" max="12801" width="9.140625" style="1"/>
    <col min="12802" max="12802" width="70.28515625" style="1" customWidth="1"/>
    <col min="12803" max="12803" width="10.85546875" style="1" customWidth="1"/>
    <col min="12804" max="12806" width="8.5703125" style="1" customWidth="1"/>
    <col min="12807" max="12807" width="9.5703125" style="1" customWidth="1"/>
    <col min="12808" max="12808" width="8.7109375" style="1" customWidth="1"/>
    <col min="12809" max="12809" width="8" style="1" customWidth="1"/>
    <col min="12810" max="12811" width="7.42578125" style="1" customWidth="1"/>
    <col min="12812" max="12812" width="0" style="1" hidden="1" customWidth="1"/>
    <col min="12813" max="12813" width="23.28515625" style="1" customWidth="1"/>
    <col min="12814" max="12814" width="11.5703125" style="1" bestFit="1" customWidth="1"/>
    <col min="12815" max="13057" width="9.140625" style="1"/>
    <col min="13058" max="13058" width="70.28515625" style="1" customWidth="1"/>
    <col min="13059" max="13059" width="10.85546875" style="1" customWidth="1"/>
    <col min="13060" max="13062" width="8.5703125" style="1" customWidth="1"/>
    <col min="13063" max="13063" width="9.5703125" style="1" customWidth="1"/>
    <col min="13064" max="13064" width="8.7109375" style="1" customWidth="1"/>
    <col min="13065" max="13065" width="8" style="1" customWidth="1"/>
    <col min="13066" max="13067" width="7.42578125" style="1" customWidth="1"/>
    <col min="13068" max="13068" width="0" style="1" hidden="1" customWidth="1"/>
    <col min="13069" max="13069" width="23.28515625" style="1" customWidth="1"/>
    <col min="13070" max="13070" width="11.5703125" style="1" bestFit="1" customWidth="1"/>
    <col min="13071" max="13313" width="9.140625" style="1"/>
    <col min="13314" max="13314" width="70.28515625" style="1" customWidth="1"/>
    <col min="13315" max="13315" width="10.85546875" style="1" customWidth="1"/>
    <col min="13316" max="13318" width="8.5703125" style="1" customWidth="1"/>
    <col min="13319" max="13319" width="9.5703125" style="1" customWidth="1"/>
    <col min="13320" max="13320" width="8.7109375" style="1" customWidth="1"/>
    <col min="13321" max="13321" width="8" style="1" customWidth="1"/>
    <col min="13322" max="13323" width="7.42578125" style="1" customWidth="1"/>
    <col min="13324" max="13324" width="0" style="1" hidden="1" customWidth="1"/>
    <col min="13325" max="13325" width="23.28515625" style="1" customWidth="1"/>
    <col min="13326" max="13326" width="11.5703125" style="1" bestFit="1" customWidth="1"/>
    <col min="13327" max="13569" width="9.140625" style="1"/>
    <col min="13570" max="13570" width="70.28515625" style="1" customWidth="1"/>
    <col min="13571" max="13571" width="10.85546875" style="1" customWidth="1"/>
    <col min="13572" max="13574" width="8.5703125" style="1" customWidth="1"/>
    <col min="13575" max="13575" width="9.5703125" style="1" customWidth="1"/>
    <col min="13576" max="13576" width="8.7109375" style="1" customWidth="1"/>
    <col min="13577" max="13577" width="8" style="1" customWidth="1"/>
    <col min="13578" max="13579" width="7.42578125" style="1" customWidth="1"/>
    <col min="13580" max="13580" width="0" style="1" hidden="1" customWidth="1"/>
    <col min="13581" max="13581" width="23.28515625" style="1" customWidth="1"/>
    <col min="13582" max="13582" width="11.5703125" style="1" bestFit="1" customWidth="1"/>
    <col min="13583" max="13825" width="9.140625" style="1"/>
    <col min="13826" max="13826" width="70.28515625" style="1" customWidth="1"/>
    <col min="13827" max="13827" width="10.85546875" style="1" customWidth="1"/>
    <col min="13828" max="13830" width="8.5703125" style="1" customWidth="1"/>
    <col min="13831" max="13831" width="9.5703125" style="1" customWidth="1"/>
    <col min="13832" max="13832" width="8.7109375" style="1" customWidth="1"/>
    <col min="13833" max="13833" width="8" style="1" customWidth="1"/>
    <col min="13834" max="13835" width="7.42578125" style="1" customWidth="1"/>
    <col min="13836" max="13836" width="0" style="1" hidden="1" customWidth="1"/>
    <col min="13837" max="13837" width="23.28515625" style="1" customWidth="1"/>
    <col min="13838" max="13838" width="11.5703125" style="1" bestFit="1" customWidth="1"/>
    <col min="13839" max="14081" width="9.140625" style="1"/>
    <col min="14082" max="14082" width="70.28515625" style="1" customWidth="1"/>
    <col min="14083" max="14083" width="10.85546875" style="1" customWidth="1"/>
    <col min="14084" max="14086" width="8.5703125" style="1" customWidth="1"/>
    <col min="14087" max="14087" width="9.5703125" style="1" customWidth="1"/>
    <col min="14088" max="14088" width="8.7109375" style="1" customWidth="1"/>
    <col min="14089" max="14089" width="8" style="1" customWidth="1"/>
    <col min="14090" max="14091" width="7.42578125" style="1" customWidth="1"/>
    <col min="14092" max="14092" width="0" style="1" hidden="1" customWidth="1"/>
    <col min="14093" max="14093" width="23.28515625" style="1" customWidth="1"/>
    <col min="14094" max="14094" width="11.5703125" style="1" bestFit="1" customWidth="1"/>
    <col min="14095" max="14337" width="9.140625" style="1"/>
    <col min="14338" max="14338" width="70.28515625" style="1" customWidth="1"/>
    <col min="14339" max="14339" width="10.85546875" style="1" customWidth="1"/>
    <col min="14340" max="14342" width="8.5703125" style="1" customWidth="1"/>
    <col min="14343" max="14343" width="9.5703125" style="1" customWidth="1"/>
    <col min="14344" max="14344" width="8.7109375" style="1" customWidth="1"/>
    <col min="14345" max="14345" width="8" style="1" customWidth="1"/>
    <col min="14346" max="14347" width="7.42578125" style="1" customWidth="1"/>
    <col min="14348" max="14348" width="0" style="1" hidden="1" customWidth="1"/>
    <col min="14349" max="14349" width="23.28515625" style="1" customWidth="1"/>
    <col min="14350" max="14350" width="11.5703125" style="1" bestFit="1" customWidth="1"/>
    <col min="14351" max="14593" width="9.140625" style="1"/>
    <col min="14594" max="14594" width="70.28515625" style="1" customWidth="1"/>
    <col min="14595" max="14595" width="10.85546875" style="1" customWidth="1"/>
    <col min="14596" max="14598" width="8.5703125" style="1" customWidth="1"/>
    <col min="14599" max="14599" width="9.5703125" style="1" customWidth="1"/>
    <col min="14600" max="14600" width="8.7109375" style="1" customWidth="1"/>
    <col min="14601" max="14601" width="8" style="1" customWidth="1"/>
    <col min="14602" max="14603" width="7.42578125" style="1" customWidth="1"/>
    <col min="14604" max="14604" width="0" style="1" hidden="1" customWidth="1"/>
    <col min="14605" max="14605" width="23.28515625" style="1" customWidth="1"/>
    <col min="14606" max="14606" width="11.5703125" style="1" bestFit="1" customWidth="1"/>
    <col min="14607" max="14849" width="9.140625" style="1"/>
    <col min="14850" max="14850" width="70.28515625" style="1" customWidth="1"/>
    <col min="14851" max="14851" width="10.85546875" style="1" customWidth="1"/>
    <col min="14852" max="14854" width="8.5703125" style="1" customWidth="1"/>
    <col min="14855" max="14855" width="9.5703125" style="1" customWidth="1"/>
    <col min="14856" max="14856" width="8.7109375" style="1" customWidth="1"/>
    <col min="14857" max="14857" width="8" style="1" customWidth="1"/>
    <col min="14858" max="14859" width="7.42578125" style="1" customWidth="1"/>
    <col min="14860" max="14860" width="0" style="1" hidden="1" customWidth="1"/>
    <col min="14861" max="14861" width="23.28515625" style="1" customWidth="1"/>
    <col min="14862" max="14862" width="11.5703125" style="1" bestFit="1" customWidth="1"/>
    <col min="14863" max="15105" width="9.140625" style="1"/>
    <col min="15106" max="15106" width="70.28515625" style="1" customWidth="1"/>
    <col min="15107" max="15107" width="10.85546875" style="1" customWidth="1"/>
    <col min="15108" max="15110" width="8.5703125" style="1" customWidth="1"/>
    <col min="15111" max="15111" width="9.5703125" style="1" customWidth="1"/>
    <col min="15112" max="15112" width="8.7109375" style="1" customWidth="1"/>
    <col min="15113" max="15113" width="8" style="1" customWidth="1"/>
    <col min="15114" max="15115" width="7.42578125" style="1" customWidth="1"/>
    <col min="15116" max="15116" width="0" style="1" hidden="1" customWidth="1"/>
    <col min="15117" max="15117" width="23.28515625" style="1" customWidth="1"/>
    <col min="15118" max="15118" width="11.5703125" style="1" bestFit="1" customWidth="1"/>
    <col min="15119" max="15361" width="9.140625" style="1"/>
    <col min="15362" max="15362" width="70.28515625" style="1" customWidth="1"/>
    <col min="15363" max="15363" width="10.85546875" style="1" customWidth="1"/>
    <col min="15364" max="15366" width="8.5703125" style="1" customWidth="1"/>
    <col min="15367" max="15367" width="9.5703125" style="1" customWidth="1"/>
    <col min="15368" max="15368" width="8.7109375" style="1" customWidth="1"/>
    <col min="15369" max="15369" width="8" style="1" customWidth="1"/>
    <col min="15370" max="15371" width="7.42578125" style="1" customWidth="1"/>
    <col min="15372" max="15372" width="0" style="1" hidden="1" customWidth="1"/>
    <col min="15373" max="15373" width="23.28515625" style="1" customWidth="1"/>
    <col min="15374" max="15374" width="11.5703125" style="1" bestFit="1" customWidth="1"/>
    <col min="15375" max="15617" width="9.140625" style="1"/>
    <col min="15618" max="15618" width="70.28515625" style="1" customWidth="1"/>
    <col min="15619" max="15619" width="10.85546875" style="1" customWidth="1"/>
    <col min="15620" max="15622" width="8.5703125" style="1" customWidth="1"/>
    <col min="15623" max="15623" width="9.5703125" style="1" customWidth="1"/>
    <col min="15624" max="15624" width="8.7109375" style="1" customWidth="1"/>
    <col min="15625" max="15625" width="8" style="1" customWidth="1"/>
    <col min="15626" max="15627" width="7.42578125" style="1" customWidth="1"/>
    <col min="15628" max="15628" width="0" style="1" hidden="1" customWidth="1"/>
    <col min="15629" max="15629" width="23.28515625" style="1" customWidth="1"/>
    <col min="15630" max="15630" width="11.5703125" style="1" bestFit="1" customWidth="1"/>
    <col min="15631" max="15873" width="9.140625" style="1"/>
    <col min="15874" max="15874" width="70.28515625" style="1" customWidth="1"/>
    <col min="15875" max="15875" width="10.85546875" style="1" customWidth="1"/>
    <col min="15876" max="15878" width="8.5703125" style="1" customWidth="1"/>
    <col min="15879" max="15879" width="9.5703125" style="1" customWidth="1"/>
    <col min="15880" max="15880" width="8.7109375" style="1" customWidth="1"/>
    <col min="15881" max="15881" width="8" style="1" customWidth="1"/>
    <col min="15882" max="15883" width="7.42578125" style="1" customWidth="1"/>
    <col min="15884" max="15884" width="0" style="1" hidden="1" customWidth="1"/>
    <col min="15885" max="15885" width="23.28515625" style="1" customWidth="1"/>
    <col min="15886" max="15886" width="11.5703125" style="1" bestFit="1" customWidth="1"/>
    <col min="15887" max="16129" width="9.140625" style="1"/>
    <col min="16130" max="16130" width="70.28515625" style="1" customWidth="1"/>
    <col min="16131" max="16131" width="10.85546875" style="1" customWidth="1"/>
    <col min="16132" max="16134" width="8.5703125" style="1" customWidth="1"/>
    <col min="16135" max="16135" width="9.5703125" style="1" customWidth="1"/>
    <col min="16136" max="16136" width="8.7109375" style="1" customWidth="1"/>
    <col min="16137" max="16137" width="8" style="1" customWidth="1"/>
    <col min="16138" max="16139" width="7.42578125" style="1" customWidth="1"/>
    <col min="16140" max="16140" width="0" style="1" hidden="1" customWidth="1"/>
    <col min="16141" max="16141" width="23.28515625" style="1" customWidth="1"/>
    <col min="16142" max="16142" width="11.5703125" style="1" bestFit="1" customWidth="1"/>
    <col min="16143" max="16384" width="9.140625" style="1"/>
  </cols>
  <sheetData>
    <row r="1" spans="1:18" ht="15" x14ac:dyDescent="0.25">
      <c r="A1" s="56" t="s">
        <v>61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18" ht="9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7"/>
      <c r="N2" s="57"/>
      <c r="O2" s="57"/>
      <c r="P2" s="57"/>
      <c r="Q2" s="57"/>
      <c r="R2" s="57"/>
    </row>
    <row r="3" spans="1:18" ht="15.75" x14ac:dyDescent="0.2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</row>
    <row r="4" spans="1:18" s="4" customFormat="1" ht="24" customHeight="1" x14ac:dyDescent="0.2">
      <c r="A4" s="44" t="s">
        <v>0</v>
      </c>
      <c r="B4" s="44" t="s">
        <v>1</v>
      </c>
      <c r="C4" s="58" t="s">
        <v>60</v>
      </c>
      <c r="D4" s="59"/>
      <c r="E4" s="60"/>
      <c r="F4" s="44" t="s">
        <v>59</v>
      </c>
      <c r="G4" s="54" t="s">
        <v>21</v>
      </c>
      <c r="H4" s="61"/>
      <c r="I4" s="61"/>
      <c r="J4" s="61"/>
      <c r="K4" s="61"/>
      <c r="L4" s="61"/>
      <c r="M4" s="63"/>
      <c r="N4" s="63"/>
      <c r="O4" s="63"/>
      <c r="P4" s="63"/>
      <c r="Q4" s="63"/>
      <c r="R4" s="63"/>
    </row>
    <row r="5" spans="1:18" s="4" customFormat="1" ht="11.25" customHeight="1" x14ac:dyDescent="0.2">
      <c r="A5" s="45"/>
      <c r="B5" s="45"/>
      <c r="C5" s="54" t="s">
        <v>50</v>
      </c>
      <c r="D5" s="54" t="s">
        <v>51</v>
      </c>
      <c r="E5" s="54" t="s">
        <v>52</v>
      </c>
      <c r="F5" s="45"/>
      <c r="G5" s="47" t="s">
        <v>53</v>
      </c>
      <c r="H5" s="48"/>
      <c r="I5" s="47" t="s">
        <v>54</v>
      </c>
      <c r="J5" s="48"/>
      <c r="K5" s="47" t="s">
        <v>55</v>
      </c>
      <c r="L5" s="48"/>
      <c r="M5" s="62" t="s">
        <v>56</v>
      </c>
      <c r="N5" s="46"/>
      <c r="O5" s="62" t="s">
        <v>57</v>
      </c>
      <c r="P5" s="46"/>
      <c r="Q5" s="62" t="s">
        <v>58</v>
      </c>
      <c r="R5" s="46"/>
    </row>
    <row r="6" spans="1:18" s="4" customFormat="1" ht="31.5" customHeight="1" x14ac:dyDescent="0.2">
      <c r="A6" s="45"/>
      <c r="B6" s="45"/>
      <c r="C6" s="61"/>
      <c r="D6" s="61"/>
      <c r="E6" s="61"/>
      <c r="F6" s="45"/>
      <c r="G6" s="49"/>
      <c r="H6" s="50"/>
      <c r="I6" s="49"/>
      <c r="J6" s="50"/>
      <c r="K6" s="49"/>
      <c r="L6" s="50"/>
      <c r="M6" s="61"/>
      <c r="N6" s="61"/>
      <c r="O6" s="61"/>
      <c r="P6" s="61"/>
      <c r="Q6" s="61"/>
      <c r="R6" s="61"/>
    </row>
    <row r="7" spans="1:18" s="4" customFormat="1" ht="31.5" customHeight="1" x14ac:dyDescent="0.2">
      <c r="A7" s="46"/>
      <c r="B7" s="46"/>
      <c r="C7" s="61"/>
      <c r="D7" s="61"/>
      <c r="E7" s="61"/>
      <c r="F7" s="46"/>
      <c r="G7" s="34" t="s">
        <v>2</v>
      </c>
      <c r="H7" s="34" t="s">
        <v>3</v>
      </c>
      <c r="I7" s="34" t="s">
        <v>2</v>
      </c>
      <c r="J7" s="34" t="s">
        <v>3</v>
      </c>
      <c r="K7" s="34" t="s">
        <v>2</v>
      </c>
      <c r="L7" s="34" t="s">
        <v>3</v>
      </c>
      <c r="M7" s="34" t="s">
        <v>2</v>
      </c>
      <c r="N7" s="34" t="s">
        <v>3</v>
      </c>
      <c r="O7" s="34" t="s">
        <v>2</v>
      </c>
      <c r="P7" s="34" t="s">
        <v>3</v>
      </c>
      <c r="Q7" s="34" t="s">
        <v>2</v>
      </c>
      <c r="R7" s="34" t="s">
        <v>3</v>
      </c>
    </row>
    <row r="8" spans="1:18" s="5" customFormat="1" x14ac:dyDescent="0.2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7">
        <v>13</v>
      </c>
      <c r="N8" s="37">
        <v>14</v>
      </c>
      <c r="O8" s="37">
        <v>15</v>
      </c>
      <c r="P8" s="37">
        <v>16</v>
      </c>
      <c r="Q8" s="37">
        <v>17</v>
      </c>
      <c r="R8" s="37">
        <v>18</v>
      </c>
    </row>
    <row r="9" spans="1:18" s="5" customFormat="1" x14ac:dyDescent="0.2">
      <c r="A9" s="51" t="s">
        <v>22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3"/>
    </row>
    <row r="10" spans="1:18" s="5" customFormat="1" x14ac:dyDescent="0.2">
      <c r="A10" s="6" t="s">
        <v>23</v>
      </c>
      <c r="B10" s="35" t="s">
        <v>24</v>
      </c>
      <c r="C10" s="8" t="s">
        <v>48</v>
      </c>
      <c r="D10" s="8" t="s">
        <v>48</v>
      </c>
      <c r="E10" s="8" t="s">
        <v>48</v>
      </c>
      <c r="F10" s="9">
        <f>345*1.112</f>
        <v>383.64000000000004</v>
      </c>
      <c r="G10" s="9">
        <f>F10*G11/100</f>
        <v>388.24368000000004</v>
      </c>
      <c r="H10" s="9">
        <f t="shared" ref="H10:M10" si="0">F10*H11/100</f>
        <v>408.57660000000004</v>
      </c>
      <c r="I10" s="9">
        <f t="shared" si="0"/>
        <v>394.45557888000002</v>
      </c>
      <c r="J10" s="9">
        <f t="shared" si="0"/>
        <v>433.49977259999997</v>
      </c>
      <c r="K10" s="9">
        <f t="shared" si="0"/>
        <v>413.78390224512003</v>
      </c>
      <c r="L10" s="9">
        <f t="shared" si="0"/>
        <v>458.64275941080001</v>
      </c>
      <c r="M10" s="9">
        <f t="shared" si="0"/>
        <v>421.6457963877773</v>
      </c>
      <c r="N10" s="9">
        <f t="shared" ref="N10:R10" si="1">L10*N11/100</f>
        <v>469.19154287724842</v>
      </c>
      <c r="O10" s="9">
        <f t="shared" si="1"/>
        <v>429.65706651914508</v>
      </c>
      <c r="P10" s="9">
        <f t="shared" si="1"/>
        <v>484.2056722493204</v>
      </c>
      <c r="Q10" s="9">
        <f t="shared" si="1"/>
        <v>437.82055078300885</v>
      </c>
      <c r="R10" s="9">
        <f t="shared" si="1"/>
        <v>490.98455166081089</v>
      </c>
    </row>
    <row r="11" spans="1:18" s="5" customFormat="1" x14ac:dyDescent="0.2">
      <c r="A11" s="10" t="s">
        <v>4</v>
      </c>
      <c r="B11" s="42" t="s">
        <v>25</v>
      </c>
      <c r="C11" s="8" t="s">
        <v>48</v>
      </c>
      <c r="D11" s="8" t="s">
        <v>48</v>
      </c>
      <c r="E11" s="8" t="s">
        <v>48</v>
      </c>
      <c r="F11" s="39" t="s">
        <v>49</v>
      </c>
      <c r="G11" s="8">
        <v>101.2</v>
      </c>
      <c r="H11" s="8">
        <v>106.5</v>
      </c>
      <c r="I11" s="8">
        <v>101.6</v>
      </c>
      <c r="J11" s="8">
        <v>106.1</v>
      </c>
      <c r="K11" s="8">
        <v>104.9</v>
      </c>
      <c r="L11" s="8">
        <v>105.8</v>
      </c>
      <c r="M11" s="8">
        <v>101.9</v>
      </c>
      <c r="N11" s="8">
        <v>102.3</v>
      </c>
      <c r="O11" s="8">
        <v>101.9</v>
      </c>
      <c r="P11" s="8">
        <v>103.2</v>
      </c>
      <c r="Q11" s="8">
        <v>101.9</v>
      </c>
      <c r="R11" s="8">
        <v>101.4</v>
      </c>
    </row>
    <row r="12" spans="1:18" s="5" customFormat="1" ht="18.75" customHeight="1" x14ac:dyDescent="0.2">
      <c r="A12" s="10" t="s">
        <v>5</v>
      </c>
      <c r="B12" s="43"/>
      <c r="C12" s="8" t="s">
        <v>48</v>
      </c>
      <c r="D12" s="8" t="s">
        <v>48</v>
      </c>
      <c r="E12" s="8" t="s">
        <v>48</v>
      </c>
      <c r="F12" s="39" t="s">
        <v>49</v>
      </c>
      <c r="G12" s="9">
        <f>G11/99.4*100</f>
        <v>101.81086519114689</v>
      </c>
      <c r="H12" s="9">
        <f>H11/104.4*100</f>
        <v>102.01149425287355</v>
      </c>
      <c r="I12" s="9">
        <f>I11/99.8*100</f>
        <v>101.80360721442885</v>
      </c>
      <c r="J12" s="9">
        <f>J11/104.1*100</f>
        <v>101.92122958693564</v>
      </c>
      <c r="K12" s="9">
        <f>K11/103.4*100</f>
        <v>101.45067698259187</v>
      </c>
      <c r="L12" s="9">
        <f>L11/103.8*100</f>
        <v>101.92678227360308</v>
      </c>
      <c r="M12" s="9">
        <f>M11/103.7*100</f>
        <v>98.264223722275801</v>
      </c>
      <c r="N12" s="9">
        <f>N11/103.7*100</f>
        <v>98.649951783992279</v>
      </c>
      <c r="O12" s="9">
        <f>O11/104*100</f>
        <v>97.980769230769241</v>
      </c>
      <c r="P12" s="9">
        <f>P11/104*100</f>
        <v>99.230769230769226</v>
      </c>
      <c r="Q12" s="9">
        <f>Q11/104.24*100</f>
        <v>97.755180353031477</v>
      </c>
      <c r="R12" s="9">
        <f>R11/104.24*100</f>
        <v>97.275518035303151</v>
      </c>
    </row>
    <row r="13" spans="1:18" ht="12.75" customHeight="1" x14ac:dyDescent="0.2">
      <c r="A13" s="54" t="s">
        <v>27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5"/>
      <c r="N13" s="55"/>
      <c r="O13" s="55"/>
      <c r="P13" s="55"/>
      <c r="Q13" s="55"/>
      <c r="R13" s="55"/>
    </row>
    <row r="14" spans="1:18" ht="39.75" customHeight="1" x14ac:dyDescent="0.2">
      <c r="A14" s="6" t="s">
        <v>43</v>
      </c>
      <c r="B14" s="15" t="s">
        <v>24</v>
      </c>
      <c r="C14" s="9">
        <f t="shared" ref="C14:K14" si="2">C18+C19</f>
        <v>9151.1999999999989</v>
      </c>
      <c r="D14" s="9">
        <f t="shared" si="2"/>
        <v>10813.8</v>
      </c>
      <c r="E14" s="9">
        <f t="shared" si="2"/>
        <v>9207</v>
      </c>
      <c r="F14" s="9">
        <f t="shared" si="2"/>
        <v>12247.172</v>
      </c>
      <c r="G14" s="9">
        <f t="shared" si="2"/>
        <v>13128.968384</v>
      </c>
      <c r="H14" s="9">
        <f t="shared" si="2"/>
        <v>13165.709900000002</v>
      </c>
      <c r="I14" s="9">
        <f t="shared" si="2"/>
        <v>14061.125139263997</v>
      </c>
      <c r="J14" s="9">
        <f t="shared" si="2"/>
        <v>14205.800982100003</v>
      </c>
      <c r="K14" s="9">
        <f t="shared" si="2"/>
        <v>15059.465024151741</v>
      </c>
      <c r="L14" s="9">
        <f>L18+L19</f>
        <v>15328.059259685902</v>
      </c>
      <c r="M14" s="9">
        <f>M18+M19</f>
        <v>15963.032925600844</v>
      </c>
      <c r="N14" s="9">
        <f t="shared" ref="N14:R14" si="3">N18+N19</f>
        <v>16247.742815267058</v>
      </c>
      <c r="O14" s="9">
        <f>O18+O19</f>
        <v>17080.445230392903</v>
      </c>
      <c r="P14" s="9">
        <f t="shared" si="3"/>
        <v>17385.08481233575</v>
      </c>
      <c r="Q14" s="9">
        <f t="shared" si="3"/>
        <v>18276.076396520406</v>
      </c>
      <c r="R14" s="9">
        <f t="shared" si="3"/>
        <v>18602.040749199256</v>
      </c>
    </row>
    <row r="15" spans="1:18" s="11" customFormat="1" ht="18" customHeight="1" x14ac:dyDescent="0.2">
      <c r="A15" s="10" t="s">
        <v>4</v>
      </c>
      <c r="B15" s="42" t="s">
        <v>25</v>
      </c>
      <c r="C15" s="9">
        <f>C14/8480.2*100</f>
        <v>107.9125492323294</v>
      </c>
      <c r="D15" s="9">
        <f>D14/C14*100</f>
        <v>118.16810910044583</v>
      </c>
      <c r="E15" s="9">
        <f>E14/D14*100</f>
        <v>85.141208455861957</v>
      </c>
      <c r="F15" s="39" t="s">
        <v>49</v>
      </c>
      <c r="G15" s="9">
        <v>107.2</v>
      </c>
      <c r="H15" s="9">
        <v>107.5</v>
      </c>
      <c r="I15" s="9">
        <v>107.1</v>
      </c>
      <c r="J15" s="9">
        <v>107.9</v>
      </c>
      <c r="K15" s="9">
        <v>107.1</v>
      </c>
      <c r="L15" s="9">
        <v>107.9</v>
      </c>
      <c r="M15" s="9">
        <v>106</v>
      </c>
      <c r="N15" s="9">
        <v>106</v>
      </c>
      <c r="O15" s="9">
        <v>107</v>
      </c>
      <c r="P15" s="9">
        <v>107</v>
      </c>
      <c r="Q15" s="9">
        <v>107</v>
      </c>
      <c r="R15" s="9">
        <v>107</v>
      </c>
    </row>
    <row r="16" spans="1:18" s="11" customFormat="1" ht="17.25" customHeight="1" x14ac:dyDescent="0.2">
      <c r="A16" s="10" t="s">
        <v>5</v>
      </c>
      <c r="B16" s="43"/>
      <c r="C16" s="9">
        <f>C15/114*100</f>
        <v>94.660130905552094</v>
      </c>
      <c r="D16" s="9">
        <f>D15/102.2*100</f>
        <v>115.62437289671803</v>
      </c>
      <c r="E16" s="9">
        <v>102.1</v>
      </c>
      <c r="F16" s="39" t="s">
        <v>49</v>
      </c>
      <c r="G16" s="12">
        <v>102.5</v>
      </c>
      <c r="H16" s="12">
        <v>102.9</v>
      </c>
      <c r="I16" s="12">
        <v>102.5</v>
      </c>
      <c r="J16" s="12">
        <v>103.2</v>
      </c>
      <c r="K16" s="12">
        <v>102.5</v>
      </c>
      <c r="L16" s="12">
        <v>103.2</v>
      </c>
      <c r="M16" s="9">
        <f>M15/103.1*100</f>
        <v>102.81280310378274</v>
      </c>
      <c r="N16" s="9">
        <f>N15/103.1*100</f>
        <v>102.81280310378274</v>
      </c>
      <c r="O16" s="9">
        <f>O15/103.9*100</f>
        <v>102.98363811357075</v>
      </c>
      <c r="P16" s="9">
        <f>P15/103.9*100</f>
        <v>102.98363811357075</v>
      </c>
      <c r="Q16" s="9">
        <f t="shared" ref="Q16:R16" si="4">Q15/103.9*100</f>
        <v>102.98363811357075</v>
      </c>
      <c r="R16" s="9">
        <f t="shared" si="4"/>
        <v>102.98363811357075</v>
      </c>
    </row>
    <row r="17" spans="1:18" x14ac:dyDescent="0.2">
      <c r="A17" s="29" t="s">
        <v>6</v>
      </c>
      <c r="B17" s="30"/>
      <c r="C17" s="9"/>
      <c r="D17" s="9"/>
      <c r="E17" s="9"/>
      <c r="F17" s="40"/>
      <c r="G17" s="40"/>
      <c r="H17" s="40"/>
      <c r="I17" s="40"/>
      <c r="J17" s="41"/>
      <c r="K17" s="41"/>
      <c r="L17" s="41"/>
      <c r="M17" s="9"/>
      <c r="N17" s="9"/>
      <c r="O17" s="9"/>
      <c r="P17" s="9"/>
      <c r="Q17" s="9"/>
      <c r="R17" s="9"/>
    </row>
    <row r="18" spans="1:18" ht="15.75" customHeight="1" x14ac:dyDescent="0.2">
      <c r="A18" s="13" t="s">
        <v>7</v>
      </c>
      <c r="B18" s="35" t="s">
        <v>24</v>
      </c>
      <c r="C18" s="9">
        <f>8326.3</f>
        <v>8326.2999999999993</v>
      </c>
      <c r="D18" s="9">
        <f>10312.5</f>
        <v>10312.5</v>
      </c>
      <c r="E18" s="9">
        <f>8737.5</f>
        <v>8737.5</v>
      </c>
      <c r="F18" s="12">
        <f>(E18+2303.5)*1.064</f>
        <v>11747.624</v>
      </c>
      <c r="G18" s="12">
        <f>F18*G15/100</f>
        <v>12593.452927999999</v>
      </c>
      <c r="H18" s="12">
        <f t="shared" ref="H18:M18" si="5">F18*H15/100</f>
        <v>12628.695800000001</v>
      </c>
      <c r="I18" s="12">
        <f t="shared" si="5"/>
        <v>13487.588085887997</v>
      </c>
      <c r="J18" s="12">
        <f t="shared" si="5"/>
        <v>13626.362768200002</v>
      </c>
      <c r="K18" s="12">
        <f t="shared" si="5"/>
        <v>14445.206839986045</v>
      </c>
      <c r="L18" s="12">
        <f t="shared" si="5"/>
        <v>14702.845426887803</v>
      </c>
      <c r="M18" s="9">
        <f t="shared" si="5"/>
        <v>15311.919250385206</v>
      </c>
      <c r="N18" s="9">
        <f t="shared" ref="N18:R18" si="6">L18*N15/100</f>
        <v>15585.016152501072</v>
      </c>
      <c r="O18" s="9">
        <f t="shared" si="6"/>
        <v>16383.753597912171</v>
      </c>
      <c r="P18" s="9">
        <f t="shared" si="6"/>
        <v>16675.967283176145</v>
      </c>
      <c r="Q18" s="9">
        <f t="shared" si="6"/>
        <v>17530.616349766024</v>
      </c>
      <c r="R18" s="9">
        <f t="shared" si="6"/>
        <v>17843.284992998477</v>
      </c>
    </row>
    <row r="19" spans="1:18" ht="18" customHeight="1" x14ac:dyDescent="0.2">
      <c r="A19" s="13" t="s">
        <v>8</v>
      </c>
      <c r="B19" s="35" t="s">
        <v>24</v>
      </c>
      <c r="C19" s="8">
        <v>824.9</v>
      </c>
      <c r="D19" s="9">
        <v>501.3</v>
      </c>
      <c r="E19" s="9">
        <v>469.5</v>
      </c>
      <c r="F19" s="12">
        <f>E19*1.064</f>
        <v>499.548</v>
      </c>
      <c r="G19" s="12">
        <f>F19*G15/100</f>
        <v>535.51545600000009</v>
      </c>
      <c r="H19" s="12">
        <f t="shared" ref="H19:R19" si="7">F19*H15/100</f>
        <v>537.01409999999998</v>
      </c>
      <c r="I19" s="12">
        <f t="shared" si="7"/>
        <v>573.53705337600002</v>
      </c>
      <c r="J19" s="12">
        <f t="shared" si="7"/>
        <v>579.43821390000005</v>
      </c>
      <c r="K19" s="12">
        <f t="shared" si="7"/>
        <v>614.25818416569598</v>
      </c>
      <c r="L19" s="12">
        <f t="shared" si="7"/>
        <v>625.21383279810016</v>
      </c>
      <c r="M19" s="9">
        <f t="shared" si="7"/>
        <v>651.11367521563773</v>
      </c>
      <c r="N19" s="9">
        <f t="shared" si="7"/>
        <v>662.72666276598613</v>
      </c>
      <c r="O19" s="9">
        <f t="shared" si="7"/>
        <v>696.69163248073232</v>
      </c>
      <c r="P19" s="9">
        <f t="shared" si="7"/>
        <v>709.11752915960517</v>
      </c>
      <c r="Q19" s="9">
        <f t="shared" si="7"/>
        <v>745.46004675438371</v>
      </c>
      <c r="R19" s="9">
        <f t="shared" si="7"/>
        <v>758.75575620077757</v>
      </c>
    </row>
    <row r="20" spans="1:18" ht="15" x14ac:dyDescent="0.2">
      <c r="A20" s="54" t="s">
        <v>28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5"/>
      <c r="N20" s="55"/>
      <c r="O20" s="55"/>
      <c r="P20" s="55"/>
      <c r="Q20" s="55"/>
      <c r="R20" s="55"/>
    </row>
    <row r="21" spans="1:18" ht="36" customHeight="1" x14ac:dyDescent="0.2">
      <c r="A21" s="31" t="s">
        <v>9</v>
      </c>
      <c r="B21" s="35" t="s">
        <v>30</v>
      </c>
      <c r="C21" s="9">
        <v>14.442</v>
      </c>
      <c r="D21" s="9">
        <v>23.683</v>
      </c>
      <c r="E21" s="9">
        <v>11.465999999999999</v>
      </c>
      <c r="F21" s="9">
        <f>(11.466+33.145)*0.68</f>
        <v>30.335480000000004</v>
      </c>
      <c r="G21" s="9">
        <f>F21*1.112</f>
        <v>33.733053760000004</v>
      </c>
      <c r="H21" s="9">
        <f>F21*1.235</f>
        <v>37.464317800000011</v>
      </c>
      <c r="I21" s="9">
        <f>G21*1.159</f>
        <v>39.096609307840005</v>
      </c>
      <c r="J21" s="9">
        <f>H21*1.159</f>
        <v>43.421144330200015</v>
      </c>
      <c r="K21" s="9">
        <f>I21*1.137</f>
        <v>44.452844783014086</v>
      </c>
      <c r="L21" s="9">
        <f>J21*1.137</f>
        <v>49.369841103437416</v>
      </c>
      <c r="M21" s="9">
        <f>K21*96.4/100</f>
        <v>42.852542370825589</v>
      </c>
      <c r="N21" s="9">
        <f>L21*96.2/100</f>
        <v>47.493787141506793</v>
      </c>
      <c r="O21" s="9">
        <f>M21*95.1/100</f>
        <v>40.752767794655135</v>
      </c>
      <c r="P21" s="9">
        <f>N21*95.2/100</f>
        <v>45.214085358714463</v>
      </c>
      <c r="Q21" s="9">
        <f>O21*95.3/100</f>
        <v>38.837387708306345</v>
      </c>
      <c r="R21" s="9">
        <f>P21*96.3/100</f>
        <v>43.541164200442026</v>
      </c>
    </row>
    <row r="22" spans="1:18" ht="27" customHeight="1" x14ac:dyDescent="0.2">
      <c r="A22" s="69" t="s">
        <v>10</v>
      </c>
      <c r="B22" s="35" t="s">
        <v>31</v>
      </c>
      <c r="C22" s="9">
        <v>25.821466311075326</v>
      </c>
      <c r="D22" s="9">
        <v>26.681939671630396</v>
      </c>
      <c r="E22" s="9">
        <v>27.252617228695627</v>
      </c>
      <c r="F22" s="9">
        <v>31.849602673202821</v>
      </c>
      <c r="G22" s="9">
        <v>32.518385014587089</v>
      </c>
      <c r="H22" s="9">
        <v>32.549112386402363</v>
      </c>
      <c r="I22" s="9">
        <v>33.28227628573984</v>
      </c>
      <c r="J22" s="9">
        <v>33.289136162736199</v>
      </c>
      <c r="K22" s="9">
        <v>34.141992665833648</v>
      </c>
      <c r="L22" s="9">
        <v>34.1</v>
      </c>
      <c r="M22" s="9">
        <f>(1059.5+352+191.1+247.9+F21+G21+I21+K21+M21)/M52</f>
        <v>34.909126413732679</v>
      </c>
      <c r="N22" s="9">
        <f>(1059.5+352+191.1+247.9+F21+H21+J21+L21+N21)/M52</f>
        <v>35.210400119192336</v>
      </c>
      <c r="O22" s="9">
        <f>(1059.5+352+191.1+247.9+G21+I21+K21+M21+O21+F21)/N52</f>
        <v>35.499243710309734</v>
      </c>
      <c r="P22" s="9">
        <f>(1059.5+352+191.1+247.9+H21+J21+L21+N21+P21+F21)/O52</f>
        <v>36.055861676900307</v>
      </c>
      <c r="Q22" s="9">
        <f>(1059.5+352+191.1+247.9+I21+K21+M21+O21+Q21+G21+F21)/P52</f>
        <v>36.233998521668262</v>
      </c>
      <c r="R22" s="9">
        <f>(1059.5+352+191.1+247.9+J21+L21+N21+P21+R21+H21+F21)/Q52</f>
        <v>36.875841707492711</v>
      </c>
    </row>
    <row r="23" spans="1:18" ht="36.75" customHeight="1" x14ac:dyDescent="0.2">
      <c r="A23" s="70"/>
      <c r="B23" s="35" t="s">
        <v>26</v>
      </c>
      <c r="C23" s="9">
        <v>103.28586524430131</v>
      </c>
      <c r="D23" s="9">
        <v>103.33239541933369</v>
      </c>
      <c r="E23" s="9">
        <v>102.13881585854871</v>
      </c>
      <c r="F23" s="9" t="s">
        <v>49</v>
      </c>
      <c r="G23" s="9">
        <v>102.09981376611319</v>
      </c>
      <c r="H23" s="9">
        <v>102.1</v>
      </c>
      <c r="I23" s="9">
        <v>102.34910580832992</v>
      </c>
      <c r="J23" s="9">
        <v>102.27356054306102</v>
      </c>
      <c r="K23" s="9">
        <v>102.5</v>
      </c>
      <c r="L23" s="9">
        <v>102.50560075953013</v>
      </c>
      <c r="M23" s="9">
        <f t="shared" ref="M23:R23" si="8">M22/K22*100</f>
        <v>102.24689213487738</v>
      </c>
      <c r="N23" s="9">
        <f t="shared" si="8"/>
        <v>103.25630533487488</v>
      </c>
      <c r="O23" s="9">
        <f t="shared" si="8"/>
        <v>101.69043845320893</v>
      </c>
      <c r="P23" s="9">
        <f t="shared" si="8"/>
        <v>102.40116998059085</v>
      </c>
      <c r="Q23" s="9">
        <f t="shared" si="8"/>
        <v>102.0697759573541</v>
      </c>
      <c r="R23" s="9">
        <f t="shared" si="8"/>
        <v>102.27419341115827</v>
      </c>
    </row>
    <row r="24" spans="1:18" ht="15" x14ac:dyDescent="0.2">
      <c r="A24" s="76" t="s">
        <v>29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8"/>
      <c r="N24" s="78"/>
      <c r="O24" s="78"/>
      <c r="P24" s="78"/>
      <c r="Q24" s="78"/>
      <c r="R24" s="79"/>
    </row>
    <row r="25" spans="1:18" x14ac:dyDescent="0.2">
      <c r="A25" s="14" t="s">
        <v>11</v>
      </c>
      <c r="B25" s="7" t="s">
        <v>12</v>
      </c>
      <c r="C25" s="8">
        <v>145.69999999999999</v>
      </c>
      <c r="D25" s="8">
        <v>145.69999999999999</v>
      </c>
      <c r="E25" s="8">
        <v>145.69999999999999</v>
      </c>
      <c r="F25" s="8">
        <f>145.7+766.4</f>
        <v>912.09999999999991</v>
      </c>
      <c r="G25" s="8">
        <f t="shared" ref="G25:R25" si="9">145.7+766.4</f>
        <v>912.09999999999991</v>
      </c>
      <c r="H25" s="8">
        <f t="shared" si="9"/>
        <v>912.09999999999991</v>
      </c>
      <c r="I25" s="8">
        <f t="shared" si="9"/>
        <v>912.09999999999991</v>
      </c>
      <c r="J25" s="8">
        <f t="shared" si="9"/>
        <v>912.09999999999991</v>
      </c>
      <c r="K25" s="8">
        <f t="shared" si="9"/>
        <v>912.09999999999991</v>
      </c>
      <c r="L25" s="8">
        <f t="shared" si="9"/>
        <v>912.09999999999991</v>
      </c>
      <c r="M25" s="8">
        <f t="shared" si="9"/>
        <v>912.09999999999991</v>
      </c>
      <c r="N25" s="8">
        <f t="shared" si="9"/>
        <v>912.09999999999991</v>
      </c>
      <c r="O25" s="8">
        <f t="shared" si="9"/>
        <v>912.09999999999991</v>
      </c>
      <c r="P25" s="8">
        <f t="shared" si="9"/>
        <v>912.09999999999991</v>
      </c>
      <c r="Q25" s="8">
        <f t="shared" si="9"/>
        <v>912.09999999999991</v>
      </c>
      <c r="R25" s="8">
        <f t="shared" si="9"/>
        <v>912.09999999999991</v>
      </c>
    </row>
    <row r="26" spans="1:18" ht="63" customHeight="1" x14ac:dyDescent="0.2">
      <c r="A26" s="14" t="s">
        <v>33</v>
      </c>
      <c r="B26" s="35" t="s">
        <v>32</v>
      </c>
      <c r="C26" s="9">
        <f>121.9/C25*100</f>
        <v>83.665065202470842</v>
      </c>
      <c r="D26" s="9">
        <f t="shared" ref="D26" si="10">121.9/D25*100</f>
        <v>83.665065202470842</v>
      </c>
      <c r="E26" s="9">
        <f>121.9/E25*100</f>
        <v>83.665065202470842</v>
      </c>
      <c r="F26" s="9">
        <f>(121.9+151.6)/F25*100</f>
        <v>29.985747176844647</v>
      </c>
      <c r="G26" s="9">
        <f t="shared" ref="G26:Q26" si="11">(121.9+151.6)/G25*100</f>
        <v>29.985747176844647</v>
      </c>
      <c r="H26" s="9">
        <f t="shared" si="11"/>
        <v>29.985747176844647</v>
      </c>
      <c r="I26" s="9">
        <f t="shared" si="11"/>
        <v>29.985747176844647</v>
      </c>
      <c r="J26" s="9">
        <f t="shared" si="11"/>
        <v>29.985747176844647</v>
      </c>
      <c r="K26" s="9">
        <f t="shared" si="11"/>
        <v>29.985747176844647</v>
      </c>
      <c r="L26" s="9">
        <f t="shared" si="11"/>
        <v>29.985747176844647</v>
      </c>
      <c r="M26" s="9">
        <f t="shared" si="11"/>
        <v>29.985747176844647</v>
      </c>
      <c r="N26" s="9">
        <f t="shared" si="11"/>
        <v>29.985747176844647</v>
      </c>
      <c r="O26" s="9">
        <f t="shared" si="11"/>
        <v>29.985747176844647</v>
      </c>
      <c r="P26" s="9">
        <f t="shared" si="11"/>
        <v>29.985747176844647</v>
      </c>
      <c r="Q26" s="9">
        <f t="shared" si="11"/>
        <v>29.985747176844647</v>
      </c>
      <c r="R26" s="9">
        <f>(121.9+151.6)/R25*100</f>
        <v>29.985747176844647</v>
      </c>
    </row>
    <row r="27" spans="1:18" ht="12.75" customHeight="1" x14ac:dyDescent="0.2">
      <c r="A27" s="54" t="s">
        <v>34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5"/>
      <c r="N27" s="55"/>
      <c r="O27" s="55"/>
      <c r="P27" s="55"/>
      <c r="Q27" s="55"/>
      <c r="R27" s="55"/>
    </row>
    <row r="28" spans="1:18" ht="12.75" customHeight="1" x14ac:dyDescent="0.2">
      <c r="A28" s="74" t="s">
        <v>18</v>
      </c>
      <c r="B28" s="35" t="s">
        <v>24</v>
      </c>
      <c r="C28" s="9">
        <v>640.9</v>
      </c>
      <c r="D28" s="9">
        <v>407.6</v>
      </c>
      <c r="E28" s="9">
        <v>432.8</v>
      </c>
      <c r="F28" s="9">
        <v>527.57100000000003</v>
      </c>
      <c r="G28" s="9">
        <v>521.76771900000006</v>
      </c>
      <c r="H28" s="9">
        <v>577.690245</v>
      </c>
      <c r="I28" s="9">
        <v>550.98671126400006</v>
      </c>
      <c r="J28" s="9">
        <v>641.81386219499996</v>
      </c>
      <c r="K28" s="9">
        <v>580.73999367225611</v>
      </c>
      <c r="L28" s="9">
        <v>712.41338703644999</v>
      </c>
      <c r="M28" s="9">
        <f>K28*M29/100</f>
        <v>619.64957324829732</v>
      </c>
      <c r="N28" s="9">
        <f t="shared" ref="N28:R28" si="12">L28*N29/100</f>
        <v>789.35403283638664</v>
      </c>
      <c r="O28" s="9">
        <f t="shared" si="12"/>
        <v>653.1106502037054</v>
      </c>
      <c r="P28" s="9">
        <f t="shared" si="12"/>
        <v>839.87269093791542</v>
      </c>
      <c r="Q28" s="9">
        <f t="shared" si="12"/>
        <v>681.1944081624647</v>
      </c>
      <c r="R28" s="9">
        <f t="shared" si="12"/>
        <v>898.66377930356941</v>
      </c>
    </row>
    <row r="29" spans="1:18" ht="25.5" customHeight="1" x14ac:dyDescent="0.2">
      <c r="A29" s="80"/>
      <c r="B29" s="35" t="s">
        <v>26</v>
      </c>
      <c r="C29" s="9">
        <v>347.37127371273709</v>
      </c>
      <c r="D29" s="9">
        <v>63.598065220783283</v>
      </c>
      <c r="E29" s="9">
        <v>106.18253189401375</v>
      </c>
      <c r="F29" s="9" t="s">
        <v>49</v>
      </c>
      <c r="G29" s="9">
        <v>98.9</v>
      </c>
      <c r="H29" s="9">
        <v>109.5</v>
      </c>
      <c r="I29" s="9">
        <v>105.6</v>
      </c>
      <c r="J29" s="9">
        <v>111.1</v>
      </c>
      <c r="K29" s="9">
        <v>105.4</v>
      </c>
      <c r="L29" s="9">
        <v>111</v>
      </c>
      <c r="M29" s="9">
        <v>106.7</v>
      </c>
      <c r="N29" s="9">
        <v>110.8</v>
      </c>
      <c r="O29" s="9">
        <v>105.4</v>
      </c>
      <c r="P29" s="9">
        <v>106.4</v>
      </c>
      <c r="Q29" s="9">
        <v>104.3</v>
      </c>
      <c r="R29" s="9">
        <v>107</v>
      </c>
    </row>
    <row r="30" spans="1:18" x14ac:dyDescent="0.2">
      <c r="A30" s="14" t="s">
        <v>14</v>
      </c>
      <c r="B30" s="35" t="s">
        <v>13</v>
      </c>
      <c r="C30" s="9">
        <v>42.274395991466974</v>
      </c>
      <c r="D30" s="9">
        <v>42.761531644979243</v>
      </c>
      <c r="E30" s="9">
        <v>43.161531644979242</v>
      </c>
      <c r="F30" s="9">
        <v>42.761531644979243</v>
      </c>
      <c r="G30" s="9">
        <v>43.461531644979246</v>
      </c>
      <c r="H30" s="9">
        <v>42.06153164497924</v>
      </c>
      <c r="I30" s="9">
        <v>43.261531644979243</v>
      </c>
      <c r="J30" s="9">
        <v>40.961531644979239</v>
      </c>
      <c r="K30" s="9">
        <v>43.261531644979243</v>
      </c>
      <c r="L30" s="9">
        <v>40.761531644979236</v>
      </c>
      <c r="M30" s="9">
        <f>K30*99.6/100</f>
        <v>43.088485518399324</v>
      </c>
      <c r="N30" s="9">
        <f>L30*100/100</f>
        <v>40.761531644979236</v>
      </c>
      <c r="O30" s="9">
        <f>M30*100.4/100</f>
        <v>43.260839460472923</v>
      </c>
      <c r="P30" s="9">
        <f>N30*100.4/100</f>
        <v>40.924577771559157</v>
      </c>
      <c r="Q30" s="9">
        <f>O30*100/100</f>
        <v>43.260839460472923</v>
      </c>
      <c r="R30" s="9">
        <f>P30*100.2/100</f>
        <v>41.006426927102275</v>
      </c>
    </row>
    <row r="31" spans="1:18" x14ac:dyDescent="0.2">
      <c r="A31" s="69" t="s">
        <v>15</v>
      </c>
      <c r="B31" s="35" t="s">
        <v>24</v>
      </c>
      <c r="C31" s="9">
        <v>1276</v>
      </c>
      <c r="D31" s="9">
        <v>1650.1999999999998</v>
      </c>
      <c r="E31" s="18">
        <v>1219.4978000000001</v>
      </c>
      <c r="F31" s="9">
        <v>1735.7527062000001</v>
      </c>
      <c r="G31" s="9">
        <v>1794.7682982108004</v>
      </c>
      <c r="H31" s="9">
        <v>1839.8978685720003</v>
      </c>
      <c r="I31" s="9">
        <v>1902.4543961034485</v>
      </c>
      <c r="J31" s="9">
        <v>1963.1710257663244</v>
      </c>
      <c r="K31" s="9">
        <v>1852.9905818047589</v>
      </c>
      <c r="L31" s="9">
        <v>2004.397617307417</v>
      </c>
      <c r="M31" s="9">
        <f>K31*M32/100</f>
        <v>2008.6417906763588</v>
      </c>
      <c r="N31" s="9">
        <f t="shared" ref="N31:R31" si="13">L31*N32/100</f>
        <v>2208.8461742727736</v>
      </c>
      <c r="O31" s="9">
        <f t="shared" si="13"/>
        <v>2173.3504175118201</v>
      </c>
      <c r="P31" s="9">
        <f t="shared" si="13"/>
        <v>2460.6546381398703</v>
      </c>
      <c r="Q31" s="9">
        <f t="shared" si="13"/>
        <v>2373.2986559229075</v>
      </c>
      <c r="R31" s="9">
        <f t="shared" si="13"/>
        <v>2733.7873029733955</v>
      </c>
    </row>
    <row r="32" spans="1:18" ht="33.75" customHeight="1" x14ac:dyDescent="0.2">
      <c r="A32" s="70"/>
      <c r="B32" s="35" t="s">
        <v>26</v>
      </c>
      <c r="C32" s="9">
        <v>96.879508010022022</v>
      </c>
      <c r="D32" s="9">
        <v>129.32601880877741</v>
      </c>
      <c r="E32" s="17">
        <v>73.900000000000006</v>
      </c>
      <c r="F32" s="9" t="s">
        <v>49</v>
      </c>
      <c r="G32" s="9">
        <v>103.4</v>
      </c>
      <c r="H32" s="9">
        <v>106</v>
      </c>
      <c r="I32" s="9">
        <v>106</v>
      </c>
      <c r="J32" s="9">
        <v>106.7</v>
      </c>
      <c r="K32" s="9">
        <v>97.4</v>
      </c>
      <c r="L32" s="9">
        <v>102.1</v>
      </c>
      <c r="M32" s="9">
        <v>108.4</v>
      </c>
      <c r="N32" s="9">
        <v>110.2</v>
      </c>
      <c r="O32" s="9">
        <v>108.2</v>
      </c>
      <c r="P32" s="9">
        <v>111.4</v>
      </c>
      <c r="Q32" s="9">
        <v>109.2</v>
      </c>
      <c r="R32" s="9">
        <v>111.1</v>
      </c>
    </row>
    <row r="33" spans="1:18" ht="16.5" customHeight="1" x14ac:dyDescent="0.2">
      <c r="A33" s="14" t="s">
        <v>35</v>
      </c>
      <c r="B33" s="35" t="s">
        <v>24</v>
      </c>
      <c r="C33" s="8">
        <v>4654.3</v>
      </c>
      <c r="D33" s="19">
        <v>4909</v>
      </c>
      <c r="E33" s="17">
        <v>5149.5409999999993</v>
      </c>
      <c r="F33" s="9">
        <v>7675.915675199999</v>
      </c>
      <c r="G33" s="9">
        <v>7921.5449768063991</v>
      </c>
      <c r="H33" s="9">
        <v>8274.6370978655996</v>
      </c>
      <c r="I33" s="9">
        <v>8388.9161304379759</v>
      </c>
      <c r="J33" s="9">
        <v>8986.2558882820413</v>
      </c>
      <c r="K33" s="9">
        <v>8816.7508530903124</v>
      </c>
      <c r="L33" s="21">
        <v>9561.3762651320922</v>
      </c>
      <c r="M33" s="21">
        <f>K33*105.5/100</f>
        <v>9301.6721500102794</v>
      </c>
      <c r="N33" s="21">
        <f>L33*107.1/100</f>
        <v>10240.233979956471</v>
      </c>
      <c r="O33" s="21">
        <f>M33*105.2/100</f>
        <v>9785.3591018108145</v>
      </c>
      <c r="P33" s="21">
        <f>O33*107.1/100</f>
        <v>10480.119598039382</v>
      </c>
      <c r="Q33" s="21">
        <f>O33*105.8/100</f>
        <v>10352.909929715843</v>
      </c>
      <c r="R33" s="21">
        <f>P33*107.7/100</f>
        <v>11287.088807088416</v>
      </c>
    </row>
    <row r="34" spans="1:18" ht="30.75" customHeight="1" x14ac:dyDescent="0.2">
      <c r="A34" s="14" t="s">
        <v>41</v>
      </c>
      <c r="B34" s="35" t="s">
        <v>24</v>
      </c>
      <c r="C34" s="8">
        <v>773.3</v>
      </c>
      <c r="D34" s="19">
        <v>955.7</v>
      </c>
      <c r="E34" s="19">
        <v>764.1</v>
      </c>
      <c r="F34" s="9">
        <v>1054.7478000000001</v>
      </c>
      <c r="G34" s="9">
        <v>1113.8136768000002</v>
      </c>
      <c r="H34" s="9">
        <v>1125.4159026000002</v>
      </c>
      <c r="I34" s="9">
        <v>1177.3010563776002</v>
      </c>
      <c r="J34" s="9">
        <v>1222.2016702236003</v>
      </c>
      <c r="K34" s="9">
        <v>1244.4072165911234</v>
      </c>
      <c r="L34" s="9">
        <v>1327.3110138628299</v>
      </c>
      <c r="M34" s="9">
        <f>K34*M35/100</f>
        <v>1348.9374227847779</v>
      </c>
      <c r="N34" s="9">
        <f t="shared" ref="N34:R34" si="14">L34*N35/100</f>
        <v>1462.6967372768386</v>
      </c>
      <c r="O34" s="9">
        <f t="shared" si="14"/>
        <v>1459.5502914531298</v>
      </c>
      <c r="P34" s="9">
        <f t="shared" si="14"/>
        <v>1629.4441653263982</v>
      </c>
      <c r="Q34" s="9">
        <f t="shared" si="14"/>
        <v>1593.8289182668179</v>
      </c>
      <c r="R34" s="9">
        <f t="shared" si="14"/>
        <v>1810.3124676776285</v>
      </c>
    </row>
    <row r="35" spans="1:18" x14ac:dyDescent="0.2">
      <c r="A35" s="10" t="s">
        <v>4</v>
      </c>
      <c r="B35" s="42" t="s">
        <v>26</v>
      </c>
      <c r="C35" s="9">
        <v>76.571937815625304</v>
      </c>
      <c r="D35" s="9">
        <v>123.5872235872236</v>
      </c>
      <c r="E35" s="17">
        <v>79.951867740922879</v>
      </c>
      <c r="F35" s="9" t="s">
        <v>49</v>
      </c>
      <c r="G35" s="9">
        <v>105.6</v>
      </c>
      <c r="H35" s="9">
        <v>106.7</v>
      </c>
      <c r="I35" s="9">
        <v>105.7</v>
      </c>
      <c r="J35" s="9">
        <v>108.6</v>
      </c>
      <c r="K35" s="9">
        <v>105.7</v>
      </c>
      <c r="L35" s="9">
        <v>108.6</v>
      </c>
      <c r="M35" s="9">
        <v>108.4</v>
      </c>
      <c r="N35" s="9">
        <v>110.2</v>
      </c>
      <c r="O35" s="9">
        <v>108.2</v>
      </c>
      <c r="P35" s="9">
        <v>111.4</v>
      </c>
      <c r="Q35" s="9">
        <v>109.2</v>
      </c>
      <c r="R35" s="9">
        <v>111.1</v>
      </c>
    </row>
    <row r="36" spans="1:18" ht="19.5" customHeight="1" x14ac:dyDescent="0.2">
      <c r="A36" s="10" t="s">
        <v>5</v>
      </c>
      <c r="B36" s="66"/>
      <c r="C36" s="8">
        <v>66.5</v>
      </c>
      <c r="D36" s="19">
        <v>112.7</v>
      </c>
      <c r="E36" s="19">
        <v>76.3</v>
      </c>
      <c r="F36" s="9" t="s">
        <v>49</v>
      </c>
      <c r="G36" s="9">
        <v>101.14942528735631</v>
      </c>
      <c r="H36" s="9">
        <v>102.00764818355641</v>
      </c>
      <c r="I36" s="9">
        <v>101.43953934740884</v>
      </c>
      <c r="J36" s="9">
        <v>103.82409177820269</v>
      </c>
      <c r="K36" s="9">
        <v>101.43953934740884</v>
      </c>
      <c r="L36" s="9">
        <v>103.82409177820269</v>
      </c>
      <c r="M36" s="9">
        <v>100.7</v>
      </c>
      <c r="N36" s="9">
        <v>103.4</v>
      </c>
      <c r="O36" s="9">
        <v>101</v>
      </c>
      <c r="P36" s="9">
        <v>105</v>
      </c>
      <c r="Q36" s="9">
        <v>102.3</v>
      </c>
      <c r="R36" s="9">
        <v>105.2</v>
      </c>
    </row>
    <row r="37" spans="1:18" ht="15" x14ac:dyDescent="0.25">
      <c r="A37" s="64" t="s">
        <v>42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5"/>
      <c r="N37" s="65"/>
      <c r="O37" s="65"/>
      <c r="P37" s="65"/>
      <c r="Q37" s="65"/>
      <c r="R37" s="65"/>
    </row>
    <row r="38" spans="1:18" x14ac:dyDescent="0.2">
      <c r="A38" s="32" t="s">
        <v>16</v>
      </c>
      <c r="B38" s="35" t="s">
        <v>24</v>
      </c>
      <c r="C38" s="33">
        <v>7402.7</v>
      </c>
      <c r="D38" s="33">
        <v>6829.2</v>
      </c>
      <c r="E38" s="33">
        <v>7744.1</v>
      </c>
      <c r="F38" s="33">
        <v>10296.962</v>
      </c>
      <c r="G38" s="33">
        <v>11058.937188</v>
      </c>
      <c r="H38" s="33">
        <v>11244.282504000001</v>
      </c>
      <c r="I38" s="33">
        <v>12109.53622086</v>
      </c>
      <c r="J38" s="33">
        <v>12661.062099504001</v>
      </c>
      <c r="K38" s="33">
        <v>13005.64190120364</v>
      </c>
      <c r="L38" s="33">
        <v>14357.64442083754</v>
      </c>
      <c r="M38" s="33">
        <f>K38*M39/100</f>
        <v>14147.14678935013</v>
      </c>
      <c r="N38" s="33">
        <f t="shared" ref="N38:R38" si="15">L38*N39/100</f>
        <v>15527.159654031893</v>
      </c>
      <c r="O38" s="33">
        <f t="shared" si="15"/>
        <v>15376.364973225525</v>
      </c>
      <c r="P38" s="33">
        <f t="shared" si="15"/>
        <v>16776.629791795411</v>
      </c>
      <c r="Q38" s="33">
        <f t="shared" si="15"/>
        <v>16927.068525719453</v>
      </c>
      <c r="R38" s="33">
        <f t="shared" si="15"/>
        <v>18285.38569760045</v>
      </c>
    </row>
    <row r="39" spans="1:18" x14ac:dyDescent="0.2">
      <c r="A39" s="10" t="s">
        <v>4</v>
      </c>
      <c r="B39" s="42" t="s">
        <v>25</v>
      </c>
      <c r="C39" s="9">
        <v>122.16281334059443</v>
      </c>
      <c r="D39" s="9">
        <v>92.252826671349638</v>
      </c>
      <c r="E39" s="9">
        <v>113.39688396883969</v>
      </c>
      <c r="F39" s="9" t="s">
        <v>49</v>
      </c>
      <c r="G39" s="9">
        <v>107.4</v>
      </c>
      <c r="H39" s="9">
        <v>109.2</v>
      </c>
      <c r="I39" s="9">
        <v>109.5</v>
      </c>
      <c r="J39" s="9">
        <v>112.6</v>
      </c>
      <c r="K39" s="9">
        <v>107.4</v>
      </c>
      <c r="L39" s="9">
        <v>113.4</v>
      </c>
      <c r="M39" s="9">
        <f>344480/316684.6*100</f>
        <v>108.77699768160498</v>
      </c>
      <c r="N39" s="9">
        <f>348742.5/322475*100</f>
        <v>108.14559268160322</v>
      </c>
      <c r="O39" s="9">
        <f>374411.2/344480*100</f>
        <v>108.6888063167673</v>
      </c>
      <c r="P39" s="9">
        <f>376805.8/348742.5*100</f>
        <v>108.04699742646795</v>
      </c>
      <c r="Q39" s="9">
        <f>412170.5/374411.2*100</f>
        <v>110.08498143217938</v>
      </c>
      <c r="R39" s="9">
        <f>410692.7/376805.8*100</f>
        <v>108.9932002108248</v>
      </c>
    </row>
    <row r="40" spans="1:18" x14ac:dyDescent="0.2">
      <c r="A40" s="10" t="s">
        <v>5</v>
      </c>
      <c r="B40" s="66"/>
      <c r="C40" s="8">
        <v>102.9</v>
      </c>
      <c r="D40" s="8">
        <v>85.4</v>
      </c>
      <c r="E40" s="8">
        <v>100.3</v>
      </c>
      <c r="F40" s="9" t="s">
        <v>49</v>
      </c>
      <c r="G40" s="9">
        <v>101.6</v>
      </c>
      <c r="H40" s="9">
        <v>102.9</v>
      </c>
      <c r="I40" s="9">
        <v>101</v>
      </c>
      <c r="J40" s="9">
        <v>103.1</v>
      </c>
      <c r="K40" s="9">
        <v>100</v>
      </c>
      <c r="L40" s="9">
        <v>103.3</v>
      </c>
      <c r="M40" s="9">
        <v>101</v>
      </c>
      <c r="N40" s="9">
        <v>102.8</v>
      </c>
      <c r="O40" s="9">
        <v>101.2</v>
      </c>
      <c r="P40" s="9">
        <v>103</v>
      </c>
      <c r="Q40" s="9">
        <v>102.5</v>
      </c>
      <c r="R40" s="9">
        <v>104.2</v>
      </c>
    </row>
    <row r="41" spans="1:18" x14ac:dyDescent="0.2">
      <c r="A41" s="22" t="s">
        <v>17</v>
      </c>
      <c r="B41" s="35" t="s">
        <v>24</v>
      </c>
      <c r="C41" s="8">
        <v>284.5</v>
      </c>
      <c r="D41" s="8">
        <v>314</v>
      </c>
      <c r="E41" s="8">
        <v>297.2</v>
      </c>
      <c r="F41" s="9">
        <v>404.50110000000001</v>
      </c>
      <c r="G41" s="9">
        <v>434.02968029999994</v>
      </c>
      <c r="H41" s="9">
        <v>439.69269570000006</v>
      </c>
      <c r="I41" s="9">
        <v>477.86667801029989</v>
      </c>
      <c r="J41" s="9">
        <v>492.45581918400006</v>
      </c>
      <c r="K41" s="9">
        <v>518.4853456411754</v>
      </c>
      <c r="L41" s="9">
        <v>553.52034076281609</v>
      </c>
      <c r="M41" s="9">
        <f>K41*M42/100</f>
        <v>566.78588891227923</v>
      </c>
      <c r="N41" s="9">
        <f t="shared" ref="N41:R41" si="16">L41*N42/100</f>
        <v>601.51762398993912</v>
      </c>
      <c r="O41" s="9">
        <f t="shared" si="16"/>
        <v>617.24695970719733</v>
      </c>
      <c r="P41" s="9">
        <f t="shared" si="16"/>
        <v>652.44703380144426</v>
      </c>
      <c r="Q41" s="9">
        <f t="shared" si="16"/>
        <v>681.48514438227107</v>
      </c>
      <c r="R41" s="9">
        <f t="shared" si="16"/>
        <v>713.17056088439267</v>
      </c>
    </row>
    <row r="42" spans="1:18" ht="18" customHeight="1" x14ac:dyDescent="0.2">
      <c r="A42" s="10" t="s">
        <v>4</v>
      </c>
      <c r="B42" s="42" t="s">
        <v>25</v>
      </c>
      <c r="C42" s="9">
        <v>92.011642949547223</v>
      </c>
      <c r="D42" s="9">
        <v>110.36906854130054</v>
      </c>
      <c r="E42" s="9">
        <v>94.649681528662427</v>
      </c>
      <c r="F42" s="9" t="s">
        <v>49</v>
      </c>
      <c r="G42" s="9">
        <v>107.3</v>
      </c>
      <c r="H42" s="9">
        <v>108.7</v>
      </c>
      <c r="I42" s="9">
        <v>110.1</v>
      </c>
      <c r="J42" s="9">
        <v>112</v>
      </c>
      <c r="K42" s="9">
        <v>108.5</v>
      </c>
      <c r="L42" s="9">
        <v>112.4</v>
      </c>
      <c r="M42" s="9">
        <f>15110.6/13822.9*100</f>
        <v>109.31570075743875</v>
      </c>
      <c r="N42" s="9">
        <f>14770.6/13592*100</f>
        <v>108.67127722189525</v>
      </c>
      <c r="O42" s="9">
        <f>16455.9/15110.6*100</f>
        <v>108.90302171985229</v>
      </c>
      <c r="P42" s="9">
        <f>16021.2/14770.6*100</f>
        <v>108.46681922196797</v>
      </c>
      <c r="Q42" s="9">
        <f>18168.5/16455.9*100</f>
        <v>110.40720957225068</v>
      </c>
      <c r="R42" s="9">
        <f>17512.3/16021.2*100</f>
        <v>109.30704316780265</v>
      </c>
    </row>
    <row r="43" spans="1:18" x14ac:dyDescent="0.2">
      <c r="A43" s="10" t="s">
        <v>5</v>
      </c>
      <c r="B43" s="66"/>
      <c r="C43" s="8">
        <v>80.099999999999994</v>
      </c>
      <c r="D43" s="8">
        <v>103.5</v>
      </c>
      <c r="E43" s="8">
        <v>87.1</v>
      </c>
      <c r="F43" s="9" t="s">
        <v>49</v>
      </c>
      <c r="G43" s="9">
        <v>101.5</v>
      </c>
      <c r="H43" s="9">
        <v>102.5</v>
      </c>
      <c r="I43" s="9">
        <v>101.6</v>
      </c>
      <c r="J43" s="9">
        <v>102.6</v>
      </c>
      <c r="K43" s="9">
        <v>101</v>
      </c>
      <c r="L43" s="9">
        <v>102.4</v>
      </c>
      <c r="M43" s="9">
        <v>101.5</v>
      </c>
      <c r="N43" s="9">
        <v>103.3</v>
      </c>
      <c r="O43" s="9">
        <v>101.4</v>
      </c>
      <c r="P43" s="9">
        <v>103.4</v>
      </c>
      <c r="Q43" s="9">
        <v>102.8</v>
      </c>
      <c r="R43" s="9">
        <v>104.5</v>
      </c>
    </row>
    <row r="44" spans="1:18" ht="20.25" customHeight="1" x14ac:dyDescent="0.25">
      <c r="A44" s="64" t="s">
        <v>46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5"/>
      <c r="N44" s="65"/>
      <c r="O44" s="65"/>
      <c r="P44" s="65"/>
      <c r="Q44" s="65"/>
      <c r="R44" s="65"/>
    </row>
    <row r="45" spans="1:18" ht="24.75" customHeight="1" x14ac:dyDescent="0.2">
      <c r="A45" s="14" t="s">
        <v>19</v>
      </c>
      <c r="B45" s="35" t="s">
        <v>25</v>
      </c>
      <c r="C45" s="23">
        <v>99.3</v>
      </c>
      <c r="D45" s="23">
        <v>94.2</v>
      </c>
      <c r="E45" s="21">
        <v>94.1</v>
      </c>
      <c r="F45" s="21">
        <v>95.4</v>
      </c>
      <c r="G45" s="21">
        <v>94.2</v>
      </c>
      <c r="H45" s="21">
        <v>97.7</v>
      </c>
      <c r="I45" s="21">
        <v>99.4</v>
      </c>
      <c r="J45" s="21">
        <v>102.1</v>
      </c>
      <c r="K45" s="21">
        <v>98.8</v>
      </c>
      <c r="L45" s="21">
        <v>103.1</v>
      </c>
      <c r="M45" s="21">
        <v>101</v>
      </c>
      <c r="N45" s="21">
        <v>102.7</v>
      </c>
      <c r="O45" s="21">
        <v>101</v>
      </c>
      <c r="P45" s="21">
        <v>102.5</v>
      </c>
      <c r="Q45" s="21">
        <v>102.5</v>
      </c>
      <c r="R45" s="21">
        <v>103.7</v>
      </c>
    </row>
    <row r="46" spans="1:18" ht="37.5" customHeight="1" x14ac:dyDescent="0.2">
      <c r="A46" s="14" t="s">
        <v>36</v>
      </c>
      <c r="B46" s="35" t="s">
        <v>37</v>
      </c>
      <c r="C46" s="8">
        <v>10.5</v>
      </c>
      <c r="D46" s="8">
        <v>10.6</v>
      </c>
      <c r="E46" s="8">
        <v>10.9</v>
      </c>
      <c r="F46" s="8">
        <v>7.5</v>
      </c>
      <c r="G46" s="8">
        <v>7.7</v>
      </c>
      <c r="H46" s="9">
        <v>7.4</v>
      </c>
      <c r="I46" s="9">
        <v>7.8</v>
      </c>
      <c r="J46" s="9">
        <v>7.4</v>
      </c>
      <c r="K46" s="9">
        <v>8</v>
      </c>
      <c r="L46" s="8">
        <v>7.3</v>
      </c>
      <c r="M46" s="9">
        <v>10.6</v>
      </c>
      <c r="N46" s="9">
        <v>9.8000000000000007</v>
      </c>
      <c r="O46" s="9">
        <v>11</v>
      </c>
      <c r="P46" s="9">
        <v>10.199999999999999</v>
      </c>
      <c r="Q46" s="9">
        <v>10.8</v>
      </c>
      <c r="R46" s="9">
        <v>10</v>
      </c>
    </row>
    <row r="47" spans="1:18" x14ac:dyDescent="0.2">
      <c r="A47" s="69" t="s">
        <v>44</v>
      </c>
      <c r="B47" s="35" t="s">
        <v>24</v>
      </c>
      <c r="C47" s="21">
        <v>2652.5</v>
      </c>
      <c r="D47" s="21">
        <v>2715.5</v>
      </c>
      <c r="E47" s="21">
        <v>2733.1</v>
      </c>
      <c r="F47" s="9">
        <v>3832.6265999999996</v>
      </c>
      <c r="G47" s="9">
        <v>3997.4295437999995</v>
      </c>
      <c r="H47" s="9">
        <v>4127.7388481999997</v>
      </c>
      <c r="I47" s="9">
        <v>4193.3035914461998</v>
      </c>
      <c r="J47" s="9">
        <v>4437.3192618149997</v>
      </c>
      <c r="K47" s="9">
        <v>4415.5486817928486</v>
      </c>
      <c r="L47" s="9">
        <v>4805.6167605456449</v>
      </c>
      <c r="M47" s="9">
        <f>K47*M48/100</f>
        <v>4764.3770276544838</v>
      </c>
      <c r="N47" s="9">
        <f t="shared" ref="N47:R47" si="17">L47*N48/100</f>
        <v>5175.6492511076594</v>
      </c>
      <c r="O47" s="9">
        <f t="shared" si="17"/>
        <v>5135.9984358115335</v>
      </c>
      <c r="P47" s="9">
        <f t="shared" si="17"/>
        <v>5548.2959971874116</v>
      </c>
      <c r="Q47" s="9">
        <f t="shared" si="17"/>
        <v>5634.1902840852526</v>
      </c>
      <c r="R47" s="9">
        <f t="shared" si="17"/>
        <v>5997.7079729595916</v>
      </c>
    </row>
    <row r="48" spans="1:18" ht="22.5" x14ac:dyDescent="0.2">
      <c r="A48" s="70"/>
      <c r="B48" s="35" t="s">
        <v>25</v>
      </c>
      <c r="C48" s="9">
        <v>100.1737225726047</v>
      </c>
      <c r="D48" s="9">
        <v>102.3751178133836</v>
      </c>
      <c r="E48" s="9">
        <v>100.64813109924506</v>
      </c>
      <c r="F48" s="9" t="s">
        <v>49</v>
      </c>
      <c r="G48" s="9">
        <v>104.3</v>
      </c>
      <c r="H48" s="9">
        <v>107.7</v>
      </c>
      <c r="I48" s="9">
        <v>104.9</v>
      </c>
      <c r="J48" s="9">
        <v>107.5</v>
      </c>
      <c r="K48" s="9">
        <v>105.3</v>
      </c>
      <c r="L48" s="9">
        <v>108.3</v>
      </c>
      <c r="M48" s="9">
        <v>107.9</v>
      </c>
      <c r="N48" s="9">
        <v>107.7</v>
      </c>
      <c r="O48" s="9">
        <v>107.8</v>
      </c>
      <c r="P48" s="9">
        <v>107.2</v>
      </c>
      <c r="Q48" s="9">
        <v>109.7</v>
      </c>
      <c r="R48" s="9">
        <v>108.1</v>
      </c>
    </row>
    <row r="49" spans="1:18" x14ac:dyDescent="0.2">
      <c r="A49" s="74" t="s">
        <v>45</v>
      </c>
      <c r="B49" s="38" t="s">
        <v>38</v>
      </c>
      <c r="C49" s="24">
        <v>26112.423705453832</v>
      </c>
      <c r="D49" s="24">
        <v>27211.600128266793</v>
      </c>
      <c r="E49" s="24">
        <v>29506.196830332075</v>
      </c>
      <c r="F49" s="16">
        <v>32050.684319090331</v>
      </c>
      <c r="G49" s="16">
        <v>33495.855455722653</v>
      </c>
      <c r="H49" s="16">
        <v>34553.140151812098</v>
      </c>
      <c r="I49" s="16">
        <v>35172.324697750817</v>
      </c>
      <c r="J49" s="16">
        <v>37070.484693810395</v>
      </c>
      <c r="K49" s="16">
        <v>36999.458448283338</v>
      </c>
      <c r="L49" s="16">
        <v>39947.596938703144</v>
      </c>
      <c r="M49" s="16">
        <f>K49*M50/100</f>
        <v>40255.410791732269</v>
      </c>
      <c r="N49" s="16">
        <f t="shared" ref="N49:R49" si="18">L49*N50/100</f>
        <v>43143.404693799392</v>
      </c>
      <c r="O49" s="16">
        <f t="shared" si="18"/>
        <v>43677.120709029514</v>
      </c>
      <c r="P49" s="16">
        <f t="shared" si="18"/>
        <v>46379.160045834346</v>
      </c>
      <c r="Q49" s="16">
        <f>O49*Q50/100</f>
        <v>48088.509900641489</v>
      </c>
      <c r="R49" s="16">
        <f t="shared" si="18"/>
        <v>50321.388649730266</v>
      </c>
    </row>
    <row r="50" spans="1:18" ht="22.5" x14ac:dyDescent="0.2">
      <c r="A50" s="75"/>
      <c r="B50" s="35" t="s">
        <v>25</v>
      </c>
      <c r="C50" s="9">
        <v>105.21566486201077</v>
      </c>
      <c r="D50" s="9">
        <v>104.20940022730785</v>
      </c>
      <c r="E50" s="9">
        <v>108.43242106766704</v>
      </c>
      <c r="F50" s="9" t="s">
        <v>49</v>
      </c>
      <c r="G50" s="9">
        <v>104.50901803607211</v>
      </c>
      <c r="H50" s="9">
        <v>107.80780780780781</v>
      </c>
      <c r="I50" s="9">
        <v>105.00500500500503</v>
      </c>
      <c r="J50" s="9">
        <v>107.28542914171659</v>
      </c>
      <c r="K50" s="9">
        <v>105.19480519480521</v>
      </c>
      <c r="L50" s="9">
        <v>107.76119402985076</v>
      </c>
      <c r="M50" s="9">
        <v>108.8</v>
      </c>
      <c r="N50" s="9">
        <v>108</v>
      </c>
      <c r="O50" s="9">
        <v>108.5</v>
      </c>
      <c r="P50" s="9">
        <v>107.5</v>
      </c>
      <c r="Q50" s="9">
        <v>110.1</v>
      </c>
      <c r="R50" s="9">
        <v>108.5</v>
      </c>
    </row>
    <row r="51" spans="1:18" ht="15" x14ac:dyDescent="0.25">
      <c r="A51" s="71" t="s">
        <v>47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3"/>
      <c r="N51" s="73"/>
      <c r="O51" s="73"/>
      <c r="P51" s="73"/>
      <c r="Q51" s="73"/>
      <c r="R51" s="73"/>
    </row>
    <row r="52" spans="1:18" x14ac:dyDescent="0.2">
      <c r="A52" s="69" t="s">
        <v>20</v>
      </c>
      <c r="B52" s="35" t="s">
        <v>39</v>
      </c>
      <c r="C52" s="9">
        <v>39.746000000000002</v>
      </c>
      <c r="D52" s="9">
        <v>39.284999999999997</v>
      </c>
      <c r="E52" s="9">
        <v>38.877000000000002</v>
      </c>
      <c r="F52" s="9">
        <v>59.053656000000004</v>
      </c>
      <c r="G52" s="9">
        <v>58.876495032000001</v>
      </c>
      <c r="H52" s="9">
        <v>58.935548687999997</v>
      </c>
      <c r="I52" s="9">
        <v>58.699865546904</v>
      </c>
      <c r="J52" s="9">
        <v>58.817677590624001</v>
      </c>
      <c r="K52" s="9">
        <v>58.523765950263289</v>
      </c>
      <c r="L52" s="9">
        <v>58.700042235442751</v>
      </c>
      <c r="M52" s="9">
        <f>K52*M53/100</f>
        <v>58.465242184313027</v>
      </c>
      <c r="N52" s="9">
        <f t="shared" ref="N52:R52" si="19">L52*N53/100</f>
        <v>58.641342193207308</v>
      </c>
      <c r="O52" s="9">
        <f t="shared" si="19"/>
        <v>58.348311699944396</v>
      </c>
      <c r="P52" s="9">
        <f t="shared" si="19"/>
        <v>58.524059508820891</v>
      </c>
      <c r="Q52" s="9">
        <f t="shared" si="19"/>
        <v>58.2316150765445</v>
      </c>
      <c r="R52" s="9">
        <f t="shared" si="19"/>
        <v>58.465535449312071</v>
      </c>
    </row>
    <row r="53" spans="1:18" ht="22.5" x14ac:dyDescent="0.2">
      <c r="A53" s="70"/>
      <c r="B53" s="35" t="s">
        <v>25</v>
      </c>
      <c r="C53" s="9">
        <v>98.978981970315786</v>
      </c>
      <c r="D53" s="9">
        <v>98.840134856337741</v>
      </c>
      <c r="E53" s="9">
        <v>98.961435662466599</v>
      </c>
      <c r="F53" s="9" t="s">
        <v>49</v>
      </c>
      <c r="G53" s="9">
        <v>99.7</v>
      </c>
      <c r="H53" s="9">
        <v>99.8</v>
      </c>
      <c r="I53" s="9">
        <v>99.7</v>
      </c>
      <c r="J53" s="9">
        <v>99.8</v>
      </c>
      <c r="K53" s="9">
        <v>99.7</v>
      </c>
      <c r="L53" s="9">
        <v>99.8</v>
      </c>
      <c r="M53" s="9">
        <v>99.9</v>
      </c>
      <c r="N53" s="9">
        <v>99.9</v>
      </c>
      <c r="O53" s="9">
        <v>99.8</v>
      </c>
      <c r="P53" s="9">
        <v>99.8</v>
      </c>
      <c r="Q53" s="9">
        <v>99.8</v>
      </c>
      <c r="R53" s="9">
        <v>99.9</v>
      </c>
    </row>
    <row r="54" spans="1:18" ht="29.25" customHeight="1" x14ac:dyDescent="0.2">
      <c r="A54" s="14" t="s">
        <v>40</v>
      </c>
      <c r="B54" s="35" t="s">
        <v>39</v>
      </c>
      <c r="C54" s="9">
        <v>8.4649999999999999</v>
      </c>
      <c r="D54" s="9">
        <v>8.3160000000000007</v>
      </c>
      <c r="E54" s="9">
        <v>7.7190000000000003</v>
      </c>
      <c r="F54" s="9">
        <v>9.9650150000000011</v>
      </c>
      <c r="G54" s="9">
        <v>9.9450849700000017</v>
      </c>
      <c r="H54" s="9">
        <v>9.9550499850000005</v>
      </c>
      <c r="I54" s="9">
        <v>9.9351398850300026</v>
      </c>
      <c r="J54" s="9">
        <v>9.9749600849700002</v>
      </c>
      <c r="K54" s="9">
        <v>9.945075024915031</v>
      </c>
      <c r="L54" s="9">
        <v>10.024834885394849</v>
      </c>
      <c r="M54" s="9">
        <f>K54*99.2/100</f>
        <v>9.8655144247157107</v>
      </c>
      <c r="N54" s="9">
        <f>L54*99.7/100</f>
        <v>9.9947603807386649</v>
      </c>
      <c r="O54" s="9">
        <f>M54*99.4/100</f>
        <v>9.8063213381674164</v>
      </c>
      <c r="P54" s="9">
        <f>N54*99.7/100</f>
        <v>9.9647760995964489</v>
      </c>
      <c r="Q54" s="9">
        <f>O54*99.6/100</f>
        <v>9.7670960528147468</v>
      </c>
      <c r="R54" s="9">
        <f>P54*99.7/100</f>
        <v>9.9348817712976594</v>
      </c>
    </row>
    <row r="55" spans="1:18" ht="36" customHeight="1" x14ac:dyDescent="0.2">
      <c r="A55" s="67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25"/>
    </row>
  </sheetData>
  <mergeCells count="36">
    <mergeCell ref="A20:R20"/>
    <mergeCell ref="A27:R27"/>
    <mergeCell ref="A24:R24"/>
    <mergeCell ref="A22:A23"/>
    <mergeCell ref="A31:A32"/>
    <mergeCell ref="A28:A29"/>
    <mergeCell ref="A37:R37"/>
    <mergeCell ref="B35:B36"/>
    <mergeCell ref="A55:L55"/>
    <mergeCell ref="A52:A53"/>
    <mergeCell ref="B39:B40"/>
    <mergeCell ref="B42:B43"/>
    <mergeCell ref="A44:R44"/>
    <mergeCell ref="A51:R51"/>
    <mergeCell ref="A47:A48"/>
    <mergeCell ref="A49:A50"/>
    <mergeCell ref="A2:R2"/>
    <mergeCell ref="A1:R1"/>
    <mergeCell ref="C4:E4"/>
    <mergeCell ref="C5:C7"/>
    <mergeCell ref="D5:D7"/>
    <mergeCell ref="E5:E7"/>
    <mergeCell ref="M5:N6"/>
    <mergeCell ref="O5:P6"/>
    <mergeCell ref="Q5:R6"/>
    <mergeCell ref="G4:R4"/>
    <mergeCell ref="B15:B16"/>
    <mergeCell ref="A4:A7"/>
    <mergeCell ref="B4:B7"/>
    <mergeCell ref="F4:F7"/>
    <mergeCell ref="G5:H6"/>
    <mergeCell ref="A9:R9"/>
    <mergeCell ref="B11:B12"/>
    <mergeCell ref="A13:R13"/>
    <mergeCell ref="I5:J6"/>
    <mergeCell ref="K5:L6"/>
  </mergeCells>
  <pageMargins left="0.27559055118110237" right="0.15748031496062992" top="0.98425196850393704" bottom="0.51181102362204722" header="0.51181102362204722" footer="0.51181102362204722"/>
  <pageSetup paperSize="9" scale="68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2018-11-12T14:00:18Z</dcterms:modified>
</cp:coreProperties>
</file>